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kclt-my.sharepoint.com/personal/a_jucyte_lkc_lt/Documents/Dokumentai/Austės/STATISTIKA/Ataskaitos/Savaitės TOP/Spalis/2023 spalio 20-26 Darbinis/"/>
    </mc:Choice>
  </mc:AlternateContent>
  <xr:revisionPtr revIDLastSave="869" documentId="13_ncr:1_{4249155F-BAF6-4C94-AFFB-A68AA93BC473}" xr6:coauthVersionLast="47" xr6:coauthVersionMax="47" xr10:uidLastSave="{6DF818D6-5F91-468D-A2B6-439168BE533E}"/>
  <bookViews>
    <workbookView xWindow="-120" yWindow="-120" windowWidth="29040" windowHeight="15840" xr2:uid="{00000000-000D-0000-FFFF-FFFF00000000}"/>
  </bookViews>
  <sheets>
    <sheet name="10.20-10.26" sheetId="32" r:id="rId1"/>
    <sheet name="10.13-10.19" sheetId="31" r:id="rId2"/>
    <sheet name="10.06-10.12" sheetId="30" r:id="rId3"/>
    <sheet name="09.29-10.05" sheetId="29" r:id="rId4"/>
    <sheet name="09.22-09.28" sheetId="28" r:id="rId5"/>
    <sheet name="09.15-09.21" sheetId="25" r:id="rId6"/>
    <sheet name="09.08-09.14" sheetId="24" r:id="rId7"/>
    <sheet name="09.01-09.07" sheetId="23" r:id="rId8"/>
    <sheet name="08.25-08.31" sheetId="22" r:id="rId9"/>
    <sheet name="08.18-08.24" sheetId="21" r:id="rId10"/>
    <sheet name="08.11-08.17" sheetId="20" r:id="rId11"/>
    <sheet name="08.04-08.10" sheetId="19" r:id="rId12"/>
    <sheet name="07.28-08.03" sheetId="18" r:id="rId13"/>
    <sheet name="07.21-07.27" sheetId="17" r:id="rId14"/>
    <sheet name="07.14-07.20" sheetId="16" r:id="rId15"/>
    <sheet name="07.07-07.13" sheetId="15" r:id="rId16"/>
    <sheet name="06.30-07.06" sheetId="14" r:id="rId17"/>
    <sheet name="06.23-06.29" sheetId="13" r:id="rId18"/>
    <sheet name="06.16-06.22" sheetId="12" r:id="rId19"/>
    <sheet name="06.09-06.15" sheetId="11" r:id="rId20"/>
    <sheet name="06.02-06.08" sheetId="10" r:id="rId21"/>
    <sheet name="05.26-06.01" sheetId="9" r:id="rId22"/>
    <sheet name="05.19-05.25" sheetId="7" r:id="rId23"/>
    <sheet name="05.12-05.18" sheetId="6" r:id="rId24"/>
    <sheet name="05.05-05.11" sheetId="5" r:id="rId25"/>
    <sheet name="04.28-05.04" sheetId="4" r:id="rId26"/>
    <sheet name="04.21-04.27" sheetId="2" r:id="rId2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3" i="32" l="1"/>
  <c r="D43" i="32"/>
  <c r="I34" i="32"/>
  <c r="I5" i="32"/>
  <c r="I21" i="32"/>
  <c r="F3" i="32"/>
  <c r="F6" i="32"/>
  <c r="F41" i="32"/>
  <c r="I4" i="32"/>
  <c r="I12" i="32"/>
  <c r="F22" i="32" l="1"/>
  <c r="I40" i="32"/>
  <c r="I38" i="32"/>
  <c r="I32" i="32"/>
  <c r="F13" i="32"/>
  <c r="I35" i="32"/>
  <c r="I28" i="32"/>
  <c r="I42" i="32" l="1"/>
  <c r="F23" i="32" l="1"/>
  <c r="I9" i="32" l="1"/>
  <c r="F43" i="32" l="1"/>
  <c r="F40" i="32"/>
  <c r="F39" i="32"/>
  <c r="I17" i="32"/>
  <c r="I37" i="32"/>
  <c r="F37" i="32"/>
  <c r="I29" i="32"/>
  <c r="F29" i="32"/>
  <c r="I18" i="32"/>
  <c r="F18" i="32"/>
  <c r="I26" i="32"/>
  <c r="F26" i="32"/>
  <c r="I31" i="32"/>
  <c r="F31" i="32"/>
  <c r="I25" i="32"/>
  <c r="F25" i="32"/>
  <c r="I27" i="32"/>
  <c r="F27" i="32"/>
  <c r="F33" i="32"/>
  <c r="I22" i="32"/>
  <c r="I24" i="32"/>
  <c r="F24" i="32"/>
  <c r="I30" i="32"/>
  <c r="F30" i="32"/>
  <c r="I20" i="32"/>
  <c r="F20" i="32"/>
  <c r="I19" i="32"/>
  <c r="F19" i="32"/>
  <c r="I41" i="32"/>
  <c r="I15" i="32"/>
  <c r="F15" i="32"/>
  <c r="I14" i="32"/>
  <c r="F14" i="32"/>
  <c r="I16" i="32"/>
  <c r="F16" i="32"/>
  <c r="I11" i="32"/>
  <c r="F11" i="32"/>
  <c r="I13" i="32"/>
  <c r="I10" i="32"/>
  <c r="F10" i="32"/>
  <c r="I7" i="32"/>
  <c r="F7" i="32"/>
  <c r="I8" i="32"/>
  <c r="F8" i="32"/>
  <c r="I3" i="32"/>
  <c r="I30" i="31"/>
  <c r="G37" i="31"/>
  <c r="D37" i="31"/>
  <c r="I18" i="31"/>
  <c r="F17" i="31"/>
  <c r="F15" i="31"/>
  <c r="F36" i="31" l="1"/>
  <c r="I19" i="31" l="1"/>
  <c r="I14" i="31"/>
  <c r="I3" i="31"/>
  <c r="I32" i="31"/>
  <c r="F5" i="31"/>
  <c r="F6" i="31"/>
  <c r="F16" i="31" l="1"/>
  <c r="F21" i="31"/>
  <c r="I34" i="31"/>
  <c r="F37" i="31" l="1"/>
  <c r="I36" i="31"/>
  <c r="I29" i="31"/>
  <c r="F29" i="31"/>
  <c r="F28" i="31"/>
  <c r="F31" i="31"/>
  <c r="I33" i="31"/>
  <c r="F33" i="31"/>
  <c r="I35" i="31"/>
  <c r="F35" i="31"/>
  <c r="I8" i="31"/>
  <c r="I24" i="31"/>
  <c r="F24" i="31"/>
  <c r="F18" i="31"/>
  <c r="I15" i="31"/>
  <c r="I17" i="31"/>
  <c r="I26" i="31"/>
  <c r="F26" i="31"/>
  <c r="I21" i="31"/>
  <c r="I25" i="31"/>
  <c r="F25" i="31"/>
  <c r="I22" i="31"/>
  <c r="F22" i="31"/>
  <c r="I27" i="31"/>
  <c r="F27" i="31"/>
  <c r="F20" i="31"/>
  <c r="I23" i="31"/>
  <c r="F23" i="31"/>
  <c r="I16" i="31"/>
  <c r="I12" i="31"/>
  <c r="F12" i="31"/>
  <c r="I11" i="31"/>
  <c r="F11" i="31"/>
  <c r="I7" i="31"/>
  <c r="F7" i="31"/>
  <c r="I9" i="31"/>
  <c r="F9" i="31"/>
  <c r="I10" i="31"/>
  <c r="F10" i="31"/>
  <c r="I6" i="31"/>
  <c r="I5" i="31"/>
  <c r="F4" i="31"/>
  <c r="I34" i="30"/>
  <c r="I35" i="30"/>
  <c r="I36" i="30"/>
  <c r="I33" i="30"/>
  <c r="I15" i="30"/>
  <c r="I16" i="30"/>
  <c r="I17" i="30"/>
  <c r="I18" i="30"/>
  <c r="I19" i="30"/>
  <c r="I20" i="30"/>
  <c r="I21" i="30"/>
  <c r="I22" i="30"/>
  <c r="I23" i="30"/>
  <c r="I24" i="30"/>
  <c r="I25" i="30"/>
  <c r="I26" i="30"/>
  <c r="I27" i="30"/>
  <c r="I28" i="30"/>
  <c r="I29" i="30"/>
  <c r="I30" i="30"/>
  <c r="I14" i="30"/>
  <c r="I5" i="30"/>
  <c r="I6" i="30"/>
  <c r="I7" i="30"/>
  <c r="I8" i="30"/>
  <c r="I9" i="30"/>
  <c r="I10" i="30"/>
  <c r="I11" i="30"/>
  <c r="I12" i="30"/>
  <c r="F34" i="30"/>
  <c r="F21" i="30"/>
  <c r="G37" i="30"/>
  <c r="D37" i="30"/>
  <c r="F36" i="30" l="1"/>
  <c r="F3" i="30"/>
  <c r="F7" i="30"/>
  <c r="F9" i="30"/>
  <c r="F20" i="30"/>
  <c r="F37" i="30" l="1"/>
  <c r="F28" i="30"/>
  <c r="F32" i="30"/>
  <c r="F29" i="30"/>
  <c r="F26" i="30"/>
  <c r="F33" i="30"/>
  <c r="I4" i="30"/>
  <c r="F22" i="30"/>
  <c r="F30" i="30"/>
  <c r="F16" i="30"/>
  <c r="F14" i="30"/>
  <c r="F18" i="30"/>
  <c r="F31" i="30"/>
  <c r="F13" i="30"/>
  <c r="F23" i="30"/>
  <c r="F15" i="30"/>
  <c r="F10" i="30"/>
  <c r="F12" i="30"/>
  <c r="F6" i="30"/>
  <c r="F8" i="30"/>
  <c r="G42" i="29"/>
  <c r="D42" i="29"/>
  <c r="I21" i="29"/>
  <c r="I25" i="29"/>
  <c r="F12" i="29"/>
  <c r="F24" i="29"/>
  <c r="I40" i="29" l="1"/>
  <c r="I39" i="29"/>
  <c r="I33" i="29"/>
  <c r="I28" i="29"/>
  <c r="I41" i="29"/>
  <c r="I4" i="29"/>
  <c r="I36" i="29"/>
  <c r="I38" i="29" l="1"/>
  <c r="I31" i="29"/>
  <c r="F5" i="29"/>
  <c r="F13" i="29" l="1"/>
  <c r="F23" i="29"/>
  <c r="I16" i="29"/>
  <c r="I35" i="29" l="1"/>
  <c r="F42" i="29" l="1"/>
  <c r="I34" i="29"/>
  <c r="F34" i="29"/>
  <c r="I29" i="29"/>
  <c r="F29" i="29"/>
  <c r="F37" i="29"/>
  <c r="I8" i="29"/>
  <c r="I9" i="29"/>
  <c r="F32" i="29"/>
  <c r="F26" i="29"/>
  <c r="I22" i="29"/>
  <c r="F22" i="29"/>
  <c r="F30" i="29"/>
  <c r="F27" i="29"/>
  <c r="I23" i="29"/>
  <c r="I18" i="29"/>
  <c r="F18" i="29"/>
  <c r="I20" i="29"/>
  <c r="F20" i="29"/>
  <c r="I19" i="29"/>
  <c r="F19" i="29"/>
  <c r="I24" i="29"/>
  <c r="I15" i="29"/>
  <c r="F15" i="29"/>
  <c r="I17" i="29"/>
  <c r="F17" i="29"/>
  <c r="I10" i="29"/>
  <c r="F10" i="29"/>
  <c r="I11" i="29"/>
  <c r="F11" i="29"/>
  <c r="F14" i="29"/>
  <c r="I12" i="29"/>
  <c r="I6" i="29"/>
  <c r="F6" i="29"/>
  <c r="I7" i="29"/>
  <c r="F7" i="29"/>
  <c r="I5" i="29"/>
  <c r="G40" i="28"/>
  <c r="D40" i="28"/>
  <c r="I32" i="28" l="1"/>
  <c r="I35" i="28"/>
  <c r="I36" i="28"/>
  <c r="I18" i="28"/>
  <c r="I33" i="28"/>
  <c r="I26" i="28" l="1"/>
  <c r="I30" i="28"/>
  <c r="F8" i="28"/>
  <c r="I28" i="28"/>
  <c r="I13" i="28"/>
  <c r="F27" i="28" l="1"/>
  <c r="F7" i="28"/>
  <c r="I25" i="28"/>
  <c r="F40" i="28"/>
  <c r="I39" i="28"/>
  <c r="F39" i="28"/>
  <c r="I38" i="28"/>
  <c r="F38" i="28"/>
  <c r="I31" i="28"/>
  <c r="F31" i="28"/>
  <c r="I34" i="28"/>
  <c r="F34" i="28"/>
  <c r="I23" i="28"/>
  <c r="F23" i="28"/>
  <c r="I29" i="28"/>
  <c r="F29" i="28"/>
  <c r="F33" i="28"/>
  <c r="I6" i="28"/>
  <c r="F24" i="28"/>
  <c r="F22" i="28"/>
  <c r="I21" i="28"/>
  <c r="F21" i="28"/>
  <c r="F20" i="28"/>
  <c r="F19" i="28"/>
  <c r="I16" i="28"/>
  <c r="F16" i="28"/>
  <c r="I3" i="28"/>
  <c r="I15" i="28"/>
  <c r="F15" i="28"/>
  <c r="I14" i="28"/>
  <c r="F14" i="28"/>
  <c r="I12" i="28"/>
  <c r="F12" i="28"/>
  <c r="I11" i="28"/>
  <c r="F11" i="28"/>
  <c r="I9" i="28"/>
  <c r="F9" i="28"/>
  <c r="I8" i="28"/>
  <c r="I5" i="28"/>
  <c r="F5" i="28"/>
  <c r="I4" i="28"/>
  <c r="F4" i="28"/>
  <c r="G38" i="25" l="1"/>
  <c r="D38" i="25"/>
  <c r="I20" i="25" l="1"/>
  <c r="I33" i="25" l="1"/>
  <c r="F3" i="25"/>
  <c r="F5" i="25" l="1"/>
  <c r="F17" i="25"/>
  <c r="I12" i="25"/>
  <c r="F38" i="25"/>
  <c r="F37" i="25"/>
  <c r="I32" i="25"/>
  <c r="F32" i="25"/>
  <c r="I35" i="25"/>
  <c r="F35" i="25"/>
  <c r="I25" i="25"/>
  <c r="F25" i="25"/>
  <c r="I27" i="25"/>
  <c r="F27" i="25"/>
  <c r="I28" i="25"/>
  <c r="F28" i="25"/>
  <c r="I29" i="25"/>
  <c r="F29" i="25"/>
  <c r="I30" i="25"/>
  <c r="F30" i="25"/>
  <c r="I26" i="25"/>
  <c r="F26" i="25"/>
  <c r="I31" i="25"/>
  <c r="F31" i="25"/>
  <c r="I22" i="25"/>
  <c r="F22" i="25"/>
  <c r="I6" i="25"/>
  <c r="I23" i="25"/>
  <c r="F23" i="25"/>
  <c r="F21" i="25"/>
  <c r="I34" i="25"/>
  <c r="F34" i="25"/>
  <c r="I24" i="25"/>
  <c r="F24" i="25"/>
  <c r="I36" i="25"/>
  <c r="F36" i="25"/>
  <c r="I16" i="25"/>
  <c r="F16" i="25"/>
  <c r="I5" i="25"/>
  <c r="F19" i="25"/>
  <c r="I13" i="25"/>
  <c r="F13" i="25"/>
  <c r="F15" i="25"/>
  <c r="F14" i="25"/>
  <c r="I9" i="25"/>
  <c r="F9" i="25"/>
  <c r="I8" i="25"/>
  <c r="F8" i="25"/>
  <c r="I11" i="25"/>
  <c r="F11" i="25"/>
  <c r="I10" i="25"/>
  <c r="F10" i="25"/>
  <c r="I7" i="25"/>
  <c r="F7" i="25"/>
  <c r="I3" i="25"/>
  <c r="G40" i="24"/>
  <c r="D40" i="24"/>
  <c r="I30" i="24"/>
  <c r="I33" i="24"/>
  <c r="I29" i="24"/>
  <c r="I12" i="24"/>
  <c r="F28" i="24" l="1"/>
  <c r="F18" i="24"/>
  <c r="I14" i="24"/>
  <c r="I24" i="24"/>
  <c r="F5" i="24"/>
  <c r="F13" i="24" l="1"/>
  <c r="F10" i="24"/>
  <c r="F38" i="24"/>
  <c r="F26" i="24"/>
  <c r="F31" i="24"/>
  <c r="F40" i="24"/>
  <c r="F30" i="24"/>
  <c r="I35" i="24"/>
  <c r="F35" i="24"/>
  <c r="I34" i="24"/>
  <c r="F34" i="24"/>
  <c r="I38" i="24"/>
  <c r="I32" i="24"/>
  <c r="F32" i="24"/>
  <c r="I28" i="24"/>
  <c r="I36" i="24"/>
  <c r="F36" i="24"/>
  <c r="I31" i="24"/>
  <c r="I26" i="24"/>
  <c r="I27" i="24"/>
  <c r="F27" i="24"/>
  <c r="I21" i="24"/>
  <c r="F21" i="24"/>
  <c r="I22" i="24"/>
  <c r="F22" i="24"/>
  <c r="I25" i="24"/>
  <c r="F25" i="24"/>
  <c r="I37" i="24"/>
  <c r="F37" i="24"/>
  <c r="I23" i="24"/>
  <c r="F23" i="24"/>
  <c r="I20" i="24"/>
  <c r="F20" i="24"/>
  <c r="I39" i="24"/>
  <c r="F39" i="24"/>
  <c r="I19" i="24"/>
  <c r="F19" i="24"/>
  <c r="I3" i="24"/>
  <c r="I17" i="24"/>
  <c r="F17" i="24"/>
  <c r="I18" i="24"/>
  <c r="I16" i="24"/>
  <c r="F16" i="24"/>
  <c r="F12" i="24"/>
  <c r="F11" i="24"/>
  <c r="I7" i="24"/>
  <c r="F7" i="24"/>
  <c r="I6" i="24"/>
  <c r="F6" i="24"/>
  <c r="I4" i="24"/>
  <c r="F4" i="24"/>
  <c r="I5" i="24"/>
  <c r="I8" i="24"/>
  <c r="F8" i="24"/>
  <c r="G42" i="23"/>
  <c r="D42" i="23"/>
  <c r="F41" i="23" l="1"/>
  <c r="I37" i="23"/>
  <c r="I29" i="23"/>
  <c r="I27" i="23"/>
  <c r="I20" i="23" l="1"/>
  <c r="I31" i="23" l="1"/>
  <c r="F26" i="23" l="1"/>
  <c r="I28" i="23"/>
  <c r="I33" i="23"/>
  <c r="F34" i="23" l="1"/>
  <c r="I23" i="23"/>
  <c r="F22" i="23"/>
  <c r="F17" i="23"/>
  <c r="I13" i="23" l="1"/>
  <c r="I15" i="23"/>
  <c r="F3" i="23" l="1"/>
  <c r="F9" i="23"/>
  <c r="F42" i="23" l="1"/>
  <c r="I41" i="23"/>
  <c r="I35" i="23"/>
  <c r="F35" i="23"/>
  <c r="I34" i="23"/>
  <c r="I32" i="23"/>
  <c r="F32" i="23"/>
  <c r="I38" i="23"/>
  <c r="F38" i="23"/>
  <c r="I36" i="23"/>
  <c r="F36" i="23"/>
  <c r="I30" i="23"/>
  <c r="F30" i="23"/>
  <c r="I26" i="23"/>
  <c r="I25" i="23"/>
  <c r="F25" i="23"/>
  <c r="I4" i="23"/>
  <c r="I24" i="23"/>
  <c r="F24" i="23"/>
  <c r="I21" i="23"/>
  <c r="F21" i="23"/>
  <c r="I18" i="23"/>
  <c r="F18" i="23"/>
  <c r="I16" i="23"/>
  <c r="F16" i="23"/>
  <c r="I12" i="23"/>
  <c r="F12" i="23"/>
  <c r="I22" i="23"/>
  <c r="I19" i="23"/>
  <c r="F19" i="23"/>
  <c r="I10" i="23"/>
  <c r="F10" i="23"/>
  <c r="I17" i="23"/>
  <c r="I14" i="23"/>
  <c r="F14" i="23"/>
  <c r="I8" i="23"/>
  <c r="F8" i="23"/>
  <c r="I3" i="23"/>
  <c r="I6" i="23"/>
  <c r="F6" i="23"/>
  <c r="I5" i="23"/>
  <c r="F5" i="23"/>
  <c r="I22" i="22"/>
  <c r="G39" i="22"/>
  <c r="D39" i="22"/>
  <c r="I38" i="22" l="1"/>
  <c r="I5" i="22"/>
  <c r="I33" i="22"/>
  <c r="I29" i="20" l="1"/>
  <c r="F34" i="22"/>
  <c r="I27" i="22"/>
  <c r="I37" i="22"/>
  <c r="I35" i="22" l="1"/>
  <c r="I32" i="22"/>
  <c r="I28" i="22"/>
  <c r="I19" i="22"/>
  <c r="F17" i="22"/>
  <c r="F14" i="22"/>
  <c r="F11" i="22"/>
  <c r="F21" i="22" l="1"/>
  <c r="F29" i="22" l="1"/>
  <c r="F30" i="22"/>
  <c r="F13" i="22"/>
  <c r="F39" i="22" l="1"/>
  <c r="I25" i="22"/>
  <c r="F25" i="22"/>
  <c r="I26" i="22"/>
  <c r="F26" i="22"/>
  <c r="I36" i="22"/>
  <c r="F36" i="22"/>
  <c r="F20" i="22"/>
  <c r="I29" i="22"/>
  <c r="I30" i="22"/>
  <c r="I31" i="22"/>
  <c r="F31" i="22"/>
  <c r="I34" i="22"/>
  <c r="I9" i="22"/>
  <c r="I12" i="22"/>
  <c r="I21" i="22"/>
  <c r="I24" i="22"/>
  <c r="F24" i="22"/>
  <c r="F23" i="22"/>
  <c r="I18" i="22"/>
  <c r="F18" i="22"/>
  <c r="I16" i="22"/>
  <c r="F16" i="22"/>
  <c r="I15" i="22"/>
  <c r="F15" i="22"/>
  <c r="I17" i="22"/>
  <c r="I13" i="22"/>
  <c r="I10" i="22"/>
  <c r="F10" i="22"/>
  <c r="I14" i="22"/>
  <c r="I11" i="22"/>
  <c r="I8" i="22"/>
  <c r="F8" i="22"/>
  <c r="I7" i="22"/>
  <c r="F7" i="22"/>
  <c r="I4" i="22"/>
  <c r="F4" i="22"/>
  <c r="I3" i="22"/>
  <c r="F3" i="22"/>
  <c r="G33" i="21"/>
  <c r="D33" i="21"/>
  <c r="I25" i="21" l="1"/>
  <c r="I24" i="21"/>
  <c r="F16" i="21"/>
  <c r="I10" i="21"/>
  <c r="F15" i="21" l="1"/>
  <c r="I19" i="21"/>
  <c r="I18" i="21"/>
  <c r="F5" i="21"/>
  <c r="F23" i="21" l="1"/>
  <c r="F27" i="21"/>
  <c r="I21" i="21" l="1"/>
  <c r="I17" i="21" l="1"/>
  <c r="F31" i="21"/>
  <c r="I32" i="21" l="1"/>
  <c r="F32" i="21"/>
  <c r="I29" i="21"/>
  <c r="F29" i="21"/>
  <c r="I31" i="21"/>
  <c r="I28" i="21"/>
  <c r="F28" i="21"/>
  <c r="F26" i="21"/>
  <c r="I30" i="21"/>
  <c r="F30" i="21"/>
  <c r="I11" i="21"/>
  <c r="I27" i="21"/>
  <c r="I23" i="21"/>
  <c r="I8" i="21"/>
  <c r="I22" i="21"/>
  <c r="F22" i="21"/>
  <c r="I7" i="21"/>
  <c r="I20" i="21"/>
  <c r="F20" i="21"/>
  <c r="I14" i="21"/>
  <c r="F14" i="21"/>
  <c r="I16" i="21"/>
  <c r="I13" i="21"/>
  <c r="F13" i="21"/>
  <c r="I12" i="21"/>
  <c r="F12" i="21"/>
  <c r="I9" i="21"/>
  <c r="F9" i="21"/>
  <c r="I6" i="21"/>
  <c r="F6" i="21"/>
  <c r="I5" i="21"/>
  <c r="I4" i="21"/>
  <c r="F4" i="21"/>
  <c r="I3" i="21"/>
  <c r="F3" i="21"/>
  <c r="I21" i="20"/>
  <c r="I38" i="20"/>
  <c r="I32" i="20"/>
  <c r="I39" i="20"/>
  <c r="I35" i="20"/>
  <c r="G41" i="20"/>
  <c r="I30" i="20"/>
  <c r="I36" i="20"/>
  <c r="F23" i="20"/>
  <c r="F20" i="20"/>
  <c r="F25" i="20"/>
  <c r="I13" i="20"/>
  <c r="I10" i="20"/>
  <c r="F33" i="21" l="1"/>
  <c r="I34" i="20"/>
  <c r="I24" i="20"/>
  <c r="I18" i="20"/>
  <c r="F6" i="20"/>
  <c r="F8" i="20"/>
  <c r="I15" i="20" l="1"/>
  <c r="I19" i="20"/>
  <c r="I22" i="20"/>
  <c r="F33" i="20"/>
  <c r="F37" i="20"/>
  <c r="F27" i="20"/>
  <c r="D41" i="20" l="1"/>
  <c r="F41" i="20" s="1"/>
  <c r="I40" i="20"/>
  <c r="F40" i="20"/>
  <c r="I27" i="20"/>
  <c r="I37" i="20"/>
  <c r="I33" i="20"/>
  <c r="I31" i="20"/>
  <c r="F31" i="20"/>
  <c r="I25" i="20"/>
  <c r="I23" i="20"/>
  <c r="I28" i="20"/>
  <c r="F28" i="20"/>
  <c r="I20" i="20"/>
  <c r="I17" i="20"/>
  <c r="F17" i="20"/>
  <c r="F26" i="20"/>
  <c r="I16" i="20"/>
  <c r="F16" i="20"/>
  <c r="I14" i="20"/>
  <c r="F14" i="20"/>
  <c r="I5" i="20"/>
  <c r="I11" i="20"/>
  <c r="F11" i="20"/>
  <c r="I9" i="20"/>
  <c r="F9" i="20"/>
  <c r="I7" i="20"/>
  <c r="F7" i="20"/>
  <c r="I8" i="20"/>
  <c r="I6" i="20"/>
  <c r="I4" i="20"/>
  <c r="F4" i="20"/>
  <c r="I3" i="20"/>
  <c r="F3" i="20"/>
  <c r="G35" i="19"/>
  <c r="D35" i="19"/>
  <c r="I25" i="19" l="1"/>
  <c r="I26" i="19" l="1"/>
  <c r="I32" i="19"/>
  <c r="I33" i="19"/>
  <c r="I24" i="19"/>
  <c r="I30" i="19"/>
  <c r="I20" i="19"/>
  <c r="I16" i="19"/>
  <c r="F13" i="19"/>
  <c r="F12" i="19" l="1"/>
  <c r="I23" i="19"/>
  <c r="I22" i="19"/>
  <c r="I10" i="19"/>
  <c r="I5" i="19"/>
  <c r="I29" i="19" l="1"/>
  <c r="I31" i="19"/>
  <c r="F21" i="19" l="1"/>
  <c r="F35" i="19" l="1"/>
  <c r="I34" i="19"/>
  <c r="F34" i="19"/>
  <c r="I17" i="19"/>
  <c r="F17" i="19"/>
  <c r="I27" i="19"/>
  <c r="F27" i="19"/>
  <c r="I18" i="19"/>
  <c r="F18" i="19"/>
  <c r="I19" i="19"/>
  <c r="F19" i="19"/>
  <c r="I6" i="19"/>
  <c r="I28" i="19"/>
  <c r="F28" i="19"/>
  <c r="I21" i="19"/>
  <c r="I15" i="19"/>
  <c r="F15" i="19"/>
  <c r="F14" i="19"/>
  <c r="I11" i="19"/>
  <c r="F11" i="19"/>
  <c r="I13" i="19"/>
  <c r="I12" i="19"/>
  <c r="I9" i="19"/>
  <c r="F9" i="19"/>
  <c r="I8" i="19"/>
  <c r="F8" i="19"/>
  <c r="I7" i="19"/>
  <c r="F7" i="19"/>
  <c r="I4" i="19"/>
  <c r="F4" i="19"/>
  <c r="I3" i="19"/>
  <c r="F3" i="19"/>
  <c r="F22" i="18"/>
  <c r="F20" i="18" l="1"/>
  <c r="F23" i="18"/>
  <c r="F17" i="18"/>
  <c r="I16" i="18" l="1"/>
  <c r="I24" i="18"/>
  <c r="I14" i="18"/>
  <c r="I18" i="18" l="1"/>
  <c r="I7" i="18"/>
  <c r="F3" i="18"/>
  <c r="I30" i="18"/>
  <c r="I12" i="18"/>
  <c r="F11" i="18"/>
  <c r="F26" i="18"/>
  <c r="G31" i="18" l="1"/>
  <c r="D31" i="18"/>
  <c r="F31" i="18" s="1"/>
  <c r="I20" i="18"/>
  <c r="I26" i="18"/>
  <c r="I9" i="18"/>
  <c r="I25" i="18"/>
  <c r="F25" i="18"/>
  <c r="I23" i="18"/>
  <c r="I28" i="18"/>
  <c r="F28" i="18"/>
  <c r="I17" i="18"/>
  <c r="I21" i="18"/>
  <c r="F21" i="18"/>
  <c r="I8" i="18"/>
  <c r="I19" i="18"/>
  <c r="F19" i="18"/>
  <c r="I29" i="18"/>
  <c r="F29" i="18"/>
  <c r="I27" i="18"/>
  <c r="F27" i="18"/>
  <c r="I15" i="18"/>
  <c r="F15" i="18"/>
  <c r="I13" i="18"/>
  <c r="F13" i="18"/>
  <c r="I5" i="18"/>
  <c r="F5" i="18"/>
  <c r="I10" i="18"/>
  <c r="F10" i="18"/>
  <c r="F7" i="18"/>
  <c r="I6" i="18"/>
  <c r="F6" i="18"/>
  <c r="I3" i="18"/>
  <c r="I4" i="18"/>
  <c r="F4" i="18"/>
  <c r="I39" i="17"/>
  <c r="I17" i="17"/>
  <c r="I25" i="17"/>
  <c r="I24" i="17"/>
  <c r="I29" i="17"/>
  <c r="I10" i="17"/>
  <c r="F6" i="17"/>
  <c r="I4" i="17"/>
  <c r="F5" i="17"/>
  <c r="F21" i="17"/>
  <c r="I32" i="17"/>
  <c r="F41" i="17"/>
  <c r="I41" i="17"/>
  <c r="F19" i="17"/>
  <c r="I19" i="17"/>
  <c r="F37" i="17" l="1"/>
  <c r="F33" i="17"/>
  <c r="I40" i="17"/>
  <c r="I26" i="17"/>
  <c r="I15" i="17"/>
  <c r="G43" i="17" l="1"/>
  <c r="D43" i="17"/>
  <c r="F43" i="17" s="1"/>
  <c r="I37" i="17"/>
  <c r="I35" i="17"/>
  <c r="F35" i="17"/>
  <c r="I28" i="17"/>
  <c r="F28" i="17"/>
  <c r="I33" i="17"/>
  <c r="I34" i="17"/>
  <c r="I22" i="17"/>
  <c r="F22" i="17"/>
  <c r="I30" i="17"/>
  <c r="F30" i="17"/>
  <c r="I16" i="17"/>
  <c r="F16" i="17"/>
  <c r="I21" i="17"/>
  <c r="I20" i="17"/>
  <c r="F20" i="17"/>
  <c r="I27" i="17"/>
  <c r="F27" i="17"/>
  <c r="I14" i="17"/>
  <c r="F14" i="17"/>
  <c r="I31" i="17"/>
  <c r="F31" i="17"/>
  <c r="I18" i="17"/>
  <c r="F18" i="17"/>
  <c r="I23" i="17"/>
  <c r="F23" i="17"/>
  <c r="F10" i="17"/>
  <c r="I12" i="17"/>
  <c r="F12" i="17"/>
  <c r="I13" i="17"/>
  <c r="F13" i="17"/>
  <c r="I11" i="17"/>
  <c r="F11" i="17"/>
  <c r="I8" i="17"/>
  <c r="F8" i="17"/>
  <c r="I3" i="17"/>
  <c r="I7" i="17"/>
  <c r="F7" i="17"/>
  <c r="I5" i="17"/>
  <c r="I6" i="17"/>
  <c r="I4" i="16"/>
  <c r="I5" i="16"/>
  <c r="I6" i="16"/>
  <c r="I7" i="16"/>
  <c r="I8" i="16"/>
  <c r="I9" i="16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31" i="16"/>
  <c r="I29" i="16"/>
  <c r="I30" i="16"/>
  <c r="I32" i="16"/>
  <c r="I33" i="16"/>
  <c r="I37" i="16"/>
  <c r="I34" i="16"/>
  <c r="I35" i="16"/>
  <c r="I36" i="16"/>
  <c r="I38" i="16"/>
  <c r="G39" i="16"/>
  <c r="D39" i="16"/>
  <c r="F21" i="16" l="1"/>
  <c r="F13" i="16"/>
  <c r="F5" i="16"/>
  <c r="F38" i="16" l="1"/>
  <c r="F39" i="16" l="1"/>
  <c r="F36" i="16"/>
  <c r="F33" i="16"/>
  <c r="F27" i="16"/>
  <c r="F29" i="16"/>
  <c r="F32" i="16"/>
  <c r="F26" i="16"/>
  <c r="F22" i="16"/>
  <c r="F23" i="16"/>
  <c r="F24" i="16"/>
  <c r="F19" i="16"/>
  <c r="F18" i="16"/>
  <c r="F17" i="16"/>
  <c r="F16" i="16"/>
  <c r="F15" i="16"/>
  <c r="F12" i="16"/>
  <c r="I3" i="16"/>
  <c r="F9" i="16"/>
  <c r="F10" i="16"/>
  <c r="F11" i="16"/>
  <c r="F8" i="16"/>
  <c r="F7" i="16"/>
  <c r="I27" i="15"/>
  <c r="I28" i="15"/>
  <c r="I29" i="15"/>
  <c r="I30" i="15"/>
  <c r="I31" i="15"/>
  <c r="I32" i="15"/>
  <c r="I33" i="15"/>
  <c r="I34" i="15"/>
  <c r="I35" i="15"/>
  <c r="I36" i="15"/>
  <c r="I37" i="15"/>
  <c r="I26" i="15"/>
  <c r="I4" i="15"/>
  <c r="I5" i="15"/>
  <c r="I6" i="15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3" i="15"/>
  <c r="G38" i="15"/>
  <c r="D38" i="15"/>
  <c r="F6" i="15"/>
  <c r="F5" i="15"/>
  <c r="F35" i="15" l="1"/>
  <c r="F38" i="15"/>
  <c r="F34" i="15"/>
  <c r="F37" i="15"/>
  <c r="F36" i="15"/>
  <c r="F32" i="15"/>
  <c r="F27" i="15"/>
  <c r="F23" i="15"/>
  <c r="F29" i="15"/>
  <c r="F28" i="15"/>
  <c r="F31" i="15"/>
  <c r="F26" i="15"/>
  <c r="F33" i="15"/>
  <c r="F22" i="15"/>
  <c r="F18" i="15"/>
  <c r="F16" i="15"/>
  <c r="F14" i="15"/>
  <c r="F15" i="15"/>
  <c r="F13" i="15"/>
  <c r="F19" i="15"/>
  <c r="F17" i="15"/>
  <c r="F10" i="15"/>
  <c r="F7" i="15"/>
  <c r="F8" i="15"/>
  <c r="F4" i="15"/>
  <c r="G43" i="14"/>
  <c r="D43" i="14" l="1"/>
  <c r="I26" i="14"/>
  <c r="I34" i="14"/>
  <c r="I32" i="14"/>
  <c r="I36" i="14"/>
  <c r="I35" i="14"/>
  <c r="I39" i="14" l="1"/>
  <c r="I42" i="14" l="1"/>
  <c r="I37" i="14"/>
  <c r="I24" i="14"/>
  <c r="I31" i="14"/>
  <c r="F6" i="14"/>
  <c r="F38" i="14" l="1"/>
  <c r="F25" i="14"/>
  <c r="F27" i="14" l="1"/>
  <c r="I9" i="14"/>
  <c r="I17" i="14"/>
  <c r="I20" i="14"/>
  <c r="I22" i="14"/>
  <c r="I38" i="14"/>
  <c r="I41" i="14"/>
  <c r="F41" i="14"/>
  <c r="F35" i="14"/>
  <c r="F36" i="14"/>
  <c r="F32" i="14"/>
  <c r="F34" i="14"/>
  <c r="F26" i="14"/>
  <c r="I33" i="14"/>
  <c r="F33" i="14"/>
  <c r="I27" i="14"/>
  <c r="I23" i="14"/>
  <c r="F23" i="14"/>
  <c r="I29" i="14"/>
  <c r="F29" i="14"/>
  <c r="I25" i="14"/>
  <c r="I30" i="14"/>
  <c r="F30" i="14"/>
  <c r="I21" i="14"/>
  <c r="F21" i="14"/>
  <c r="I28" i="14"/>
  <c r="F28" i="14"/>
  <c r="I5" i="14"/>
  <c r="I18" i="14"/>
  <c r="F18" i="14"/>
  <c r="I40" i="14"/>
  <c r="F40" i="14"/>
  <c r="I19" i="14"/>
  <c r="F19" i="14"/>
  <c r="I4" i="14"/>
  <c r="I14" i="14"/>
  <c r="F14" i="14"/>
  <c r="I13" i="14"/>
  <c r="F13" i="14"/>
  <c r="I15" i="14"/>
  <c r="F15" i="14"/>
  <c r="I12" i="14"/>
  <c r="F12" i="14"/>
  <c r="I16" i="14"/>
  <c r="F16" i="14"/>
  <c r="I11" i="14"/>
  <c r="F11" i="14"/>
  <c r="I10" i="14"/>
  <c r="F10" i="14"/>
  <c r="I8" i="14"/>
  <c r="F8" i="14"/>
  <c r="I7" i="14"/>
  <c r="F7" i="14"/>
  <c r="I6" i="14"/>
  <c r="I3" i="14"/>
  <c r="F3" i="14"/>
  <c r="I29" i="13"/>
  <c r="I30" i="13"/>
  <c r="I31" i="13"/>
  <c r="I32" i="13"/>
  <c r="I33" i="13"/>
  <c r="I34" i="13"/>
  <c r="I35" i="13"/>
  <c r="I36" i="13"/>
  <c r="I37" i="13"/>
  <c r="I38" i="13"/>
  <c r="I39" i="13"/>
  <c r="I40" i="13"/>
  <c r="I41" i="13"/>
  <c r="I42" i="13"/>
  <c r="I43" i="13"/>
  <c r="I44" i="13"/>
  <c r="I45" i="13"/>
  <c r="I25" i="13"/>
  <c r="I26" i="13"/>
  <c r="I4" i="13"/>
  <c r="I5" i="13"/>
  <c r="I6" i="13"/>
  <c r="I7" i="13"/>
  <c r="I8" i="13"/>
  <c r="I9" i="13"/>
  <c r="I10" i="13"/>
  <c r="I11" i="13"/>
  <c r="I12" i="13"/>
  <c r="I13" i="13"/>
  <c r="I14" i="13"/>
  <c r="I15" i="13"/>
  <c r="I16" i="13"/>
  <c r="I17" i="13"/>
  <c r="I18" i="13"/>
  <c r="I19" i="13"/>
  <c r="I20" i="13"/>
  <c r="I21" i="13"/>
  <c r="I22" i="13"/>
  <c r="I23" i="13"/>
  <c r="G48" i="13"/>
  <c r="D48" i="13"/>
  <c r="F34" i="13"/>
  <c r="F27" i="13"/>
  <c r="F43" i="14" l="1"/>
  <c r="F41" i="13"/>
  <c r="F3" i="13"/>
  <c r="F16" i="13" l="1"/>
  <c r="F8" i="13"/>
  <c r="F15" i="13"/>
  <c r="I24" i="13" l="1"/>
  <c r="I47" i="13"/>
  <c r="F48" i="13" l="1"/>
  <c r="F35" i="13"/>
  <c r="F36" i="13"/>
  <c r="F45" i="13"/>
  <c r="F46" i="13"/>
  <c r="F38" i="13"/>
  <c r="F42" i="13"/>
  <c r="F44" i="13"/>
  <c r="F40" i="13"/>
  <c r="F23" i="13"/>
  <c r="F32" i="13"/>
  <c r="F39" i="13"/>
  <c r="F33" i="13"/>
  <c r="F37" i="13"/>
  <c r="F26" i="13"/>
  <c r="I28" i="13"/>
  <c r="F28" i="13"/>
  <c r="F31" i="13"/>
  <c r="F19" i="13"/>
  <c r="F22" i="13"/>
  <c r="F17" i="13"/>
  <c r="F12" i="13"/>
  <c r="F13" i="13"/>
  <c r="F11" i="13"/>
  <c r="F10" i="13"/>
  <c r="F7" i="13"/>
  <c r="F9" i="13"/>
  <c r="F6" i="13"/>
  <c r="F5" i="13"/>
  <c r="I3" i="13"/>
  <c r="I48" i="12"/>
  <c r="I49" i="12"/>
  <c r="I50" i="12"/>
  <c r="I38" i="12"/>
  <c r="I39" i="12"/>
  <c r="I40" i="12"/>
  <c r="I41" i="12"/>
  <c r="I42" i="12"/>
  <c r="I43" i="12"/>
  <c r="I44" i="12"/>
  <c r="I45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17" i="12"/>
  <c r="I18" i="12"/>
  <c r="I19" i="12"/>
  <c r="I4" i="12"/>
  <c r="I5" i="12"/>
  <c r="I6" i="12"/>
  <c r="I7" i="12"/>
  <c r="I8" i="12"/>
  <c r="I9" i="12"/>
  <c r="I10" i="12"/>
  <c r="I11" i="12"/>
  <c r="I12" i="12"/>
  <c r="I13" i="12"/>
  <c r="I14" i="12"/>
  <c r="I3" i="12"/>
  <c r="I37" i="12"/>
  <c r="I21" i="12"/>
  <c r="I16" i="12"/>
  <c r="G51" i="12"/>
  <c r="D51" i="12"/>
  <c r="F48" i="12"/>
  <c r="I47" i="12"/>
  <c r="F50" i="12" l="1"/>
  <c r="F33" i="12"/>
  <c r="F32" i="12"/>
  <c r="F9" i="12"/>
  <c r="F7" i="12"/>
  <c r="F5" i="12"/>
  <c r="F34" i="12" l="1"/>
  <c r="F51" i="12" l="1"/>
  <c r="F35" i="12"/>
  <c r="F36" i="12"/>
  <c r="F49" i="12"/>
  <c r="F45" i="12"/>
  <c r="F28" i="12"/>
  <c r="F25" i="12"/>
  <c r="F37" i="12"/>
  <c r="F44" i="12"/>
  <c r="F46" i="12"/>
  <c r="F26" i="12"/>
  <c r="F17" i="12"/>
  <c r="F29" i="12"/>
  <c r="F30" i="12"/>
  <c r="F23" i="12"/>
  <c r="F24" i="12"/>
  <c r="F21" i="12"/>
  <c r="F27" i="12"/>
  <c r="F19" i="12"/>
  <c r="F16" i="12"/>
  <c r="F13" i="12"/>
  <c r="F8" i="12"/>
  <c r="F11" i="12"/>
  <c r="F10" i="12"/>
  <c r="F4" i="12"/>
  <c r="I37" i="11"/>
  <c r="I47" i="11"/>
  <c r="F47" i="11"/>
  <c r="I28" i="11"/>
  <c r="I43" i="11"/>
  <c r="F45" i="11"/>
  <c r="F43" i="11"/>
  <c r="I45" i="11"/>
  <c r="I48" i="11"/>
  <c r="I39" i="11" l="1"/>
  <c r="F39" i="11"/>
  <c r="I36" i="11"/>
  <c r="I38" i="11"/>
  <c r="I40" i="11"/>
  <c r="I41" i="11"/>
  <c r="I42" i="11"/>
  <c r="I44" i="11"/>
  <c r="I46" i="11"/>
  <c r="I49" i="11"/>
  <c r="I50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5" i="11"/>
  <c r="I26" i="11"/>
  <c r="I27" i="11"/>
  <c r="I29" i="11"/>
  <c r="I30" i="11"/>
  <c r="I31" i="11"/>
  <c r="I11" i="11"/>
  <c r="I4" i="11"/>
  <c r="I5" i="11"/>
  <c r="I6" i="11"/>
  <c r="I7" i="11"/>
  <c r="I8" i="11"/>
  <c r="I9" i="11"/>
  <c r="I10" i="11"/>
  <c r="I3" i="11"/>
  <c r="G51" i="11"/>
  <c r="D51" i="11"/>
  <c r="F9" i="11" l="1"/>
  <c r="F23" i="11" l="1"/>
  <c r="F3" i="11"/>
  <c r="F36" i="11"/>
  <c r="F20" i="11"/>
  <c r="I47" i="10" l="1"/>
  <c r="I48" i="10"/>
  <c r="I49" i="10"/>
  <c r="I39" i="10"/>
  <c r="I40" i="10"/>
  <c r="I41" i="10"/>
  <c r="I42" i="10"/>
  <c r="I43" i="10"/>
  <c r="I44" i="10"/>
  <c r="I45" i="10"/>
  <c r="I33" i="10"/>
  <c r="I34" i="10"/>
  <c r="I35" i="10"/>
  <c r="I36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12" i="10"/>
  <c r="I13" i="10"/>
  <c r="I14" i="10"/>
  <c r="I15" i="10"/>
  <c r="I16" i="10"/>
  <c r="I4" i="10"/>
  <c r="I5" i="10"/>
  <c r="I6" i="10"/>
  <c r="I7" i="10"/>
  <c r="I8" i="10"/>
  <c r="I9" i="10"/>
  <c r="I10" i="10"/>
  <c r="I11" i="10"/>
  <c r="I3" i="10"/>
  <c r="F51" i="11"/>
  <c r="F50" i="11"/>
  <c r="F34" i="11"/>
  <c r="F42" i="11"/>
  <c r="F44" i="11"/>
  <c r="I33" i="11"/>
  <c r="F33" i="11"/>
  <c r="I35" i="11"/>
  <c r="F35" i="11"/>
  <c r="F31" i="11"/>
  <c r="F38" i="11"/>
  <c r="F40" i="11"/>
  <c r="F32" i="11"/>
  <c r="F46" i="11"/>
  <c r="F26" i="11"/>
  <c r="F25" i="11"/>
  <c r="F30" i="11"/>
  <c r="F21" i="11"/>
  <c r="F41" i="11"/>
  <c r="F27" i="11"/>
  <c r="F17" i="11"/>
  <c r="F24" i="11"/>
  <c r="F18" i="11"/>
  <c r="F16" i="11"/>
  <c r="F15" i="11"/>
  <c r="F22" i="11"/>
  <c r="F14" i="11"/>
  <c r="F10" i="11"/>
  <c r="F8" i="11"/>
  <c r="F7" i="11"/>
  <c r="F5" i="11"/>
  <c r="G50" i="10"/>
  <c r="D50" i="10"/>
  <c r="F20" i="10" l="1"/>
  <c r="F26" i="10" l="1"/>
  <c r="F27" i="10"/>
  <c r="F5" i="10"/>
  <c r="F36" i="10" l="1"/>
  <c r="F28" i="10"/>
  <c r="F23" i="10"/>
  <c r="F19" i="10"/>
  <c r="F10" i="10"/>
  <c r="F57" i="9" l="1"/>
  <c r="F17" i="10"/>
  <c r="F18" i="10"/>
  <c r="F50" i="10"/>
  <c r="F47" i="10"/>
  <c r="F41" i="10"/>
  <c r="F46" i="10"/>
  <c r="I38" i="10"/>
  <c r="F38" i="10"/>
  <c r="F39" i="10"/>
  <c r="I32" i="10"/>
  <c r="F32" i="10"/>
  <c r="F34" i="10"/>
  <c r="F44" i="10"/>
  <c r="F45" i="10"/>
  <c r="F48" i="10"/>
  <c r="F35" i="10"/>
  <c r="F33" i="10"/>
  <c r="F43" i="10"/>
  <c r="F31" i="10"/>
  <c r="F29" i="10"/>
  <c r="F22" i="10"/>
  <c r="F21" i="10"/>
  <c r="F37" i="10"/>
  <c r="F16" i="10"/>
  <c r="F14" i="10"/>
  <c r="I18" i="10"/>
  <c r="F15" i="10"/>
  <c r="F9" i="10"/>
  <c r="F7" i="10"/>
  <c r="F8" i="10"/>
  <c r="F4" i="10"/>
  <c r="I45" i="9"/>
  <c r="I17" i="9" l="1"/>
  <c r="I27" i="9"/>
  <c r="I52" i="9" l="1"/>
  <c r="I41" i="9"/>
  <c r="I28" i="9"/>
  <c r="I32" i="9"/>
  <c r="I39" i="9"/>
  <c r="I47" i="9"/>
  <c r="I40" i="9"/>
  <c r="I44" i="9"/>
  <c r="I7" i="9"/>
  <c r="I43" i="9" l="1"/>
  <c r="I12" i="9"/>
  <c r="G57" i="9" l="1"/>
  <c r="D57" i="9"/>
  <c r="I19" i="9"/>
  <c r="I25" i="9"/>
  <c r="F4" i="9" l="1"/>
  <c r="F6" i="9"/>
  <c r="F9" i="9"/>
  <c r="F10" i="9"/>
  <c r="F14" i="9"/>
  <c r="F18" i="9"/>
  <c r="F24" i="9"/>
  <c r="F13" i="9"/>
  <c r="F15" i="9"/>
  <c r="F22" i="9"/>
  <c r="F21" i="9"/>
  <c r="F26" i="9"/>
  <c r="F16" i="9"/>
  <c r="F29" i="9"/>
  <c r="F36" i="9"/>
  <c r="F30" i="9"/>
  <c r="F20" i="9"/>
  <c r="F42" i="9"/>
  <c r="F53" i="9"/>
  <c r="F51" i="9"/>
  <c r="F55" i="9"/>
  <c r="F25" i="9"/>
  <c r="F23" i="9"/>
  <c r="F38" i="9"/>
  <c r="F35" i="9"/>
  <c r="F33" i="9"/>
  <c r="F48" i="9"/>
  <c r="F34" i="9"/>
  <c r="F56" i="9"/>
  <c r="F37" i="9"/>
  <c r="F54" i="9"/>
  <c r="F50" i="9"/>
  <c r="F49" i="9"/>
  <c r="I49" i="9"/>
  <c r="I54" i="9"/>
  <c r="I37" i="9"/>
  <c r="I56" i="9"/>
  <c r="I34" i="9"/>
  <c r="I48" i="9"/>
  <c r="I33" i="9"/>
  <c r="I35" i="9"/>
  <c r="I38" i="9"/>
  <c r="I23" i="9"/>
  <c r="I55" i="9"/>
  <c r="I51" i="9"/>
  <c r="I53" i="9"/>
  <c r="I42" i="9"/>
  <c r="I30" i="9"/>
  <c r="I8" i="9"/>
  <c r="I36" i="9"/>
  <c r="I5" i="9"/>
  <c r="I29" i="9"/>
  <c r="I26" i="9"/>
  <c r="I21" i="9"/>
  <c r="I15" i="9"/>
  <c r="I13" i="9"/>
  <c r="I18" i="9"/>
  <c r="I14" i="9"/>
  <c r="I10" i="9"/>
  <c r="I9" i="9"/>
  <c r="I6" i="9"/>
  <c r="I4" i="9"/>
  <c r="I3" i="9"/>
  <c r="F3" i="9"/>
  <c r="I19" i="7"/>
  <c r="I20" i="7"/>
  <c r="I21" i="7"/>
  <c r="I22" i="7"/>
  <c r="I23" i="7"/>
  <c r="I24" i="7"/>
  <c r="I25" i="7"/>
  <c r="I26" i="7"/>
  <c r="I27" i="7"/>
  <c r="I28" i="7"/>
  <c r="I43" i="7"/>
  <c r="I29" i="7"/>
  <c r="I30" i="7"/>
  <c r="I31" i="7"/>
  <c r="I32" i="7"/>
  <c r="I33" i="7"/>
  <c r="I34" i="7"/>
  <c r="I35" i="7"/>
  <c r="I36" i="7"/>
  <c r="I37" i="7"/>
  <c r="I38" i="7"/>
  <c r="I39" i="7"/>
  <c r="I16" i="7"/>
  <c r="I17" i="7"/>
  <c r="I4" i="7"/>
  <c r="I5" i="7"/>
  <c r="I6" i="7"/>
  <c r="I7" i="7"/>
  <c r="I8" i="7"/>
  <c r="I9" i="7"/>
  <c r="I10" i="7"/>
  <c r="I11" i="7"/>
  <c r="I12" i="7"/>
  <c r="G45" i="7"/>
  <c r="D45" i="7"/>
  <c r="I13" i="7"/>
  <c r="I41" i="7" l="1"/>
  <c r="F10" i="7" l="1"/>
  <c r="F8" i="7"/>
  <c r="F7" i="7"/>
  <c r="F24" i="7" l="1"/>
  <c r="F14" i="7" l="1"/>
  <c r="I19" i="6"/>
  <c r="I18" i="7" l="1"/>
  <c r="I42" i="7"/>
  <c r="F44" i="7"/>
  <c r="F45" i="7"/>
  <c r="I44" i="7"/>
  <c r="F38" i="7"/>
  <c r="F32" i="7"/>
  <c r="F37" i="7"/>
  <c r="F36" i="7"/>
  <c r="F26" i="7"/>
  <c r="F39" i="7"/>
  <c r="F34" i="7"/>
  <c r="F33" i="7"/>
  <c r="F27" i="7"/>
  <c r="F29" i="7"/>
  <c r="F23" i="7"/>
  <c r="F30" i="7"/>
  <c r="F21" i="7"/>
  <c r="F40" i="7"/>
  <c r="F25" i="7"/>
  <c r="F20" i="7"/>
  <c r="F17" i="7"/>
  <c r="F11" i="7"/>
  <c r="F13" i="7"/>
  <c r="F16" i="7"/>
  <c r="F12" i="7"/>
  <c r="F6" i="7"/>
  <c r="F5" i="7"/>
  <c r="I3" i="7"/>
  <c r="F4" i="7"/>
  <c r="I32" i="6"/>
  <c r="I33" i="6"/>
  <c r="I34" i="6"/>
  <c r="I35" i="6"/>
  <c r="I36" i="6"/>
  <c r="I37" i="6"/>
  <c r="I38" i="6"/>
  <c r="I39" i="6"/>
  <c r="I40" i="6"/>
  <c r="I41" i="6"/>
  <c r="I42" i="6"/>
  <c r="I23" i="6"/>
  <c r="I24" i="6"/>
  <c r="I26" i="6"/>
  <c r="I27" i="6"/>
  <c r="I28" i="6"/>
  <c r="I29" i="6"/>
  <c r="I12" i="6"/>
  <c r="I13" i="6"/>
  <c r="I14" i="6"/>
  <c r="I15" i="6"/>
  <c r="I16" i="6"/>
  <c r="I17" i="6"/>
  <c r="I18" i="6"/>
  <c r="I20" i="6"/>
  <c r="I4" i="6"/>
  <c r="I5" i="6"/>
  <c r="I6" i="6"/>
  <c r="I7" i="6"/>
  <c r="I8" i="6"/>
  <c r="I9" i="6"/>
  <c r="F3" i="6"/>
  <c r="F29" i="6" l="1"/>
  <c r="F13" i="6" l="1"/>
  <c r="F41" i="6" l="1"/>
  <c r="F38" i="6" l="1"/>
  <c r="G43" i="6"/>
  <c r="D43" i="6"/>
  <c r="F43" i="6" s="1"/>
  <c r="F34" i="6"/>
  <c r="F39" i="6"/>
  <c r="F40" i="6"/>
  <c r="F36" i="6"/>
  <c r="F28" i="6"/>
  <c r="F37" i="6"/>
  <c r="F18" i="6"/>
  <c r="F23" i="6"/>
  <c r="F24" i="6"/>
  <c r="I31" i="6"/>
  <c r="F31" i="6"/>
  <c r="F20" i="6"/>
  <c r="F30" i="6"/>
  <c r="I22" i="6"/>
  <c r="F22" i="6"/>
  <c r="F27" i="6"/>
  <c r="F21" i="6"/>
  <c r="F32" i="6"/>
  <c r="F16" i="6"/>
  <c r="F15" i="6"/>
  <c r="F14" i="6"/>
  <c r="I11" i="6"/>
  <c r="F11" i="6"/>
  <c r="F12" i="6"/>
  <c r="F5" i="6"/>
  <c r="F6" i="6"/>
  <c r="I3" i="6"/>
  <c r="I48" i="5"/>
  <c r="I45" i="5"/>
  <c r="I46" i="5"/>
  <c r="I47" i="5"/>
  <c r="I44" i="5"/>
  <c r="I34" i="5"/>
  <c r="I40" i="5"/>
  <c r="I41" i="5"/>
  <c r="I42" i="5"/>
  <c r="I43" i="5"/>
  <c r="I31" i="5"/>
  <c r="I32" i="5"/>
  <c r="I33" i="5"/>
  <c r="I35" i="5"/>
  <c r="I36" i="5"/>
  <c r="I37" i="5"/>
  <c r="I38" i="5"/>
  <c r="I22" i="5"/>
  <c r="I18" i="5"/>
  <c r="I23" i="5"/>
  <c r="I20" i="5"/>
  <c r="I24" i="5"/>
  <c r="I25" i="5"/>
  <c r="I26" i="5"/>
  <c r="I27" i="5"/>
  <c r="I7" i="5"/>
  <c r="I8" i="5"/>
  <c r="I9" i="5"/>
  <c r="I10" i="5"/>
  <c r="I11" i="5"/>
  <c r="I12" i="5"/>
  <c r="I5" i="5"/>
  <c r="I3" i="5" l="1"/>
  <c r="F32" i="5" l="1"/>
  <c r="I6" i="5" l="1"/>
  <c r="I30" i="5"/>
  <c r="F46" i="5" l="1"/>
  <c r="F8" i="5"/>
  <c r="F43" i="5"/>
  <c r="F33" i="4"/>
  <c r="I33" i="4"/>
  <c r="I48" i="4"/>
  <c r="F48" i="4"/>
  <c r="I32" i="4"/>
  <c r="F39" i="5" l="1"/>
  <c r="F10" i="5" l="1"/>
  <c r="F17" i="5"/>
  <c r="F52" i="2"/>
  <c r="G52" i="2"/>
  <c r="D52" i="2"/>
  <c r="G50" i="4"/>
  <c r="D50" i="4"/>
  <c r="F50" i="4" s="1"/>
  <c r="G49" i="5"/>
  <c r="D49" i="5"/>
  <c r="F49" i="5" s="1"/>
  <c r="F41" i="5"/>
  <c r="F48" i="5"/>
  <c r="F26" i="5"/>
  <c r="F44" i="5"/>
  <c r="F45" i="5"/>
  <c r="F33" i="5"/>
  <c r="F23" i="5"/>
  <c r="I15" i="5"/>
  <c r="F37" i="5"/>
  <c r="F24" i="5"/>
  <c r="F36" i="5"/>
  <c r="F18" i="5"/>
  <c r="F38" i="5"/>
  <c r="I29" i="5"/>
  <c r="F29" i="5"/>
  <c r="F25" i="5"/>
  <c r="F34" i="5"/>
  <c r="F35" i="5"/>
  <c r="I21" i="5"/>
  <c r="F21" i="5"/>
  <c r="F20" i="5"/>
  <c r="F19" i="5"/>
  <c r="F14" i="5"/>
  <c r="I17" i="5"/>
  <c r="I13" i="5"/>
  <c r="F13" i="5"/>
  <c r="F12" i="5"/>
  <c r="F11" i="5"/>
  <c r="F7" i="5"/>
  <c r="F5" i="5"/>
  <c r="I4" i="5"/>
  <c r="F4" i="5"/>
  <c r="F19" i="4"/>
  <c r="F20" i="4"/>
  <c r="F21" i="4"/>
  <c r="F22" i="4"/>
  <c r="F23" i="4"/>
  <c r="F26" i="4"/>
  <c r="F27" i="4"/>
  <c r="F30" i="4"/>
  <c r="F38" i="4"/>
  <c r="F35" i="4"/>
  <c r="F36" i="4"/>
  <c r="F37" i="4"/>
  <c r="F41" i="4"/>
  <c r="F42" i="4"/>
  <c r="I28" i="2"/>
  <c r="I31" i="4" l="1"/>
  <c r="I47" i="4"/>
  <c r="F49" i="4" l="1"/>
  <c r="F25" i="4"/>
  <c r="I21" i="4" l="1"/>
  <c r="I8" i="4"/>
  <c r="I39" i="4"/>
  <c r="F6" i="4" l="1"/>
  <c r="F14" i="4"/>
  <c r="F3" i="4"/>
  <c r="F18" i="4" l="1"/>
  <c r="I45" i="4"/>
  <c r="I7" i="4"/>
  <c r="I28" i="4"/>
  <c r="I43" i="4"/>
  <c r="I44" i="4"/>
  <c r="I24" i="4"/>
  <c r="I40" i="2" l="1"/>
  <c r="I41" i="2"/>
  <c r="I42" i="2"/>
  <c r="I43" i="2"/>
  <c r="I44" i="2"/>
  <c r="I45" i="2"/>
  <c r="I46" i="2"/>
  <c r="I47" i="2"/>
  <c r="I48" i="2"/>
  <c r="I49" i="2"/>
  <c r="I50" i="2"/>
  <c r="I51" i="2"/>
  <c r="I26" i="2"/>
  <c r="I27" i="2"/>
  <c r="I29" i="2"/>
  <c r="I30" i="2"/>
  <c r="I31" i="2"/>
  <c r="I32" i="2"/>
  <c r="I33" i="2"/>
  <c r="I34" i="2"/>
  <c r="I35" i="2"/>
  <c r="I36" i="2"/>
  <c r="I37" i="2"/>
  <c r="I38" i="2"/>
  <c r="I39" i="2"/>
  <c r="I25" i="2"/>
  <c r="I13" i="2"/>
  <c r="I14" i="2"/>
  <c r="I15" i="2"/>
  <c r="I16" i="2"/>
  <c r="I17" i="2"/>
  <c r="I18" i="2"/>
  <c r="I19" i="2"/>
  <c r="I20" i="2"/>
  <c r="I21" i="2"/>
  <c r="I22" i="2"/>
  <c r="I23" i="2"/>
  <c r="I24" i="2"/>
  <c r="I12" i="2"/>
  <c r="I6" i="2"/>
  <c r="I7" i="2"/>
  <c r="I8" i="2"/>
  <c r="I9" i="2"/>
  <c r="I5" i="2"/>
  <c r="I4" i="2"/>
  <c r="I3" i="2"/>
  <c r="I27" i="4"/>
  <c r="I29" i="4"/>
  <c r="I35" i="4"/>
  <c r="I19" i="4"/>
  <c r="I20" i="4"/>
  <c r="I34" i="4"/>
  <c r="I12" i="4"/>
  <c r="I42" i="4"/>
  <c r="I41" i="4"/>
  <c r="I40" i="4"/>
  <c r="I36" i="4"/>
  <c r="I22" i="4"/>
  <c r="I37" i="4"/>
  <c r="I46" i="4"/>
  <c r="I30" i="4"/>
  <c r="I49" i="4"/>
  <c r="I38" i="4"/>
  <c r="F46" i="4"/>
  <c r="F40" i="4"/>
  <c r="F34" i="4"/>
  <c r="F29" i="4"/>
  <c r="I23" i="4"/>
  <c r="I5" i="4"/>
  <c r="I18" i="4"/>
  <c r="I26" i="4"/>
  <c r="I15" i="4"/>
  <c r="F15" i="4"/>
  <c r="I16" i="4"/>
  <c r="F16" i="4"/>
  <c r="F13" i="4"/>
  <c r="I10" i="4"/>
  <c r="F10" i="4"/>
  <c r="I11" i="4"/>
  <c r="F11" i="4"/>
  <c r="I25" i="4"/>
  <c r="I9" i="4"/>
  <c r="F9" i="4"/>
  <c r="I6" i="4"/>
  <c r="I4" i="4"/>
  <c r="F4" i="4"/>
  <c r="I3" i="4"/>
  <c r="F33" i="2"/>
  <c r="F47" i="2"/>
  <c r="F31" i="2" l="1"/>
  <c r="F26" i="2"/>
  <c r="F23" i="2"/>
  <c r="F41" i="2"/>
  <c r="F36" i="2"/>
  <c r="F37" i="2"/>
  <c r="F39" i="2"/>
  <c r="F18" i="2"/>
  <c r="F46" i="2"/>
  <c r="F14" i="2" l="1"/>
  <c r="F34" i="2"/>
  <c r="F50" i="2"/>
  <c r="F40" i="2" l="1"/>
  <c r="F4" i="2" l="1"/>
  <c r="F6" i="2"/>
  <c r="F9" i="2"/>
  <c r="F8" i="2"/>
  <c r="F10" i="2"/>
  <c r="F12" i="2"/>
  <c r="F13" i="2"/>
  <c r="F17" i="2"/>
  <c r="F20" i="2"/>
  <c r="F19" i="2"/>
  <c r="F21" i="2"/>
  <c r="F22" i="2"/>
  <c r="F27" i="2"/>
  <c r="F29" i="2"/>
  <c r="F35" i="2"/>
  <c r="F32" i="2"/>
  <c r="F48" i="2"/>
</calcChain>
</file>

<file path=xl/sharedStrings.xml><?xml version="1.0" encoding="utf-8"?>
<sst xmlns="http://schemas.openxmlformats.org/spreadsheetml/2006/main" count="4169" uniqueCount="346">
  <si>
    <t>Filmas 
(Movie)</t>
  </si>
  <si>
    <t>Pajamos 
(GBO)</t>
  </si>
  <si>
    <t>Pakitimas
(Change)</t>
  </si>
  <si>
    <t>Žiūrovų sk. 
(ADM)</t>
  </si>
  <si>
    <t>Seansų sk. 
(Show count)</t>
  </si>
  <si>
    <t>Rodymo savaitė
(Week on screen)</t>
  </si>
  <si>
    <t>Bendros pajamos 
(Total GBO)</t>
  </si>
  <si>
    <t>Platintojas 
(Distributor)</t>
  </si>
  <si>
    <t>Premjeros data 
(Release date)</t>
  </si>
  <si>
    <t>Bendras žiūrovų sk.
(Total ADM)</t>
  </si>
  <si>
    <t>Kopijų sk. 
(DCO count)</t>
  </si>
  <si>
    <t>Broliai Super Mario. Filmas (Super Mario Bros.)</t>
  </si>
  <si>
    <t>ACME Film / SONY</t>
  </si>
  <si>
    <t>ACME Film</t>
  </si>
  <si>
    <t>ACME Film / WB</t>
  </si>
  <si>
    <t>Garsų pasaulio įrašai</t>
  </si>
  <si>
    <t>Adastra Cinema</t>
  </si>
  <si>
    <t xml:space="preserve">Theatrical Film Distribution </t>
  </si>
  <si>
    <t>-</t>
  </si>
  <si>
    <t>Popiežiaus egzorcistas (Pope's Exorcist )</t>
  </si>
  <si>
    <t>Džonas Vikas 4 (John Wick Chapter Four)</t>
  </si>
  <si>
    <t>AIR</t>
  </si>
  <si>
    <t>Mafia Mamma</t>
  </si>
  <si>
    <t>Suzume</t>
  </si>
  <si>
    <t>Renfildas (Renfield)</t>
  </si>
  <si>
    <t>Aš ir Jis. Tikra katastrofa (Beautiful disaster)</t>
  </si>
  <si>
    <t>Požemiai ir drakonai. Garbė tarp vagių (Dungeons &amp; Dragons: Honor Among Thieves)</t>
  </si>
  <si>
    <t>Trys muškietininkai: D'artanjanas (Three Musketeers: D'Artagnan)</t>
  </si>
  <si>
    <t>Lankomumo vid.
(Average ADM)</t>
  </si>
  <si>
    <t xml:space="preserve">Sūnus (Son) </t>
  </si>
  <si>
    <t>Estinfilm</t>
  </si>
  <si>
    <t>N</t>
  </si>
  <si>
    <t>Viskas iškart ir visur</t>
  </si>
  <si>
    <t>Asteriksas ir Obeliksas: drakonų imperija (Asterix and Obelix: The Middle Kingdom)</t>
  </si>
  <si>
    <t>Detektyvas Sanis (Inspector Sun and the curse of the black widow)</t>
  </si>
  <si>
    <t>Bučinys (Kysset)</t>
  </si>
  <si>
    <t>Paradas</t>
  </si>
  <si>
    <t>Poetas</t>
  </si>
  <si>
    <t>Salos vaiduokliai (The Banshees of Inisherin)</t>
  </si>
  <si>
    <t>Po mokyklos</t>
  </si>
  <si>
    <t>Theatrical Film Distribution / WDSMPI</t>
  </si>
  <si>
    <t>Filip</t>
  </si>
  <si>
    <t xml:space="preserve">Mumijos (Mummies) </t>
  </si>
  <si>
    <t>Banginis (The Whale)</t>
  </si>
  <si>
    <t>Batuotas katinas Pūkis: paskutinis noras (Puss in Boots: The Last Wish)</t>
  </si>
  <si>
    <t>Broliai lokiai: atgal į žemę (Boonie Bears: Back to Earth)</t>
  </si>
  <si>
    <t>Travolta</t>
  </si>
  <si>
    <t>DuKine / Universal</t>
  </si>
  <si>
    <t>Unlimited Media OÜ</t>
  </si>
  <si>
    <t>Pajamos 
praeita sav.
(GBO LW)</t>
  </si>
  <si>
    <t>Kakė Makė: mano filmas</t>
  </si>
  <si>
    <t>Nj world</t>
  </si>
  <si>
    <t>Mizantropas (To Catch a Killer)</t>
  </si>
  <si>
    <t>Piktieji numirėliai prisikelia (Evil Dead Rise)</t>
  </si>
  <si>
    <t>#</t>
  </si>
  <si>
    <t>#
LW</t>
  </si>
  <si>
    <t>Erikas Akmenširdis (Erik Stoneheart)</t>
  </si>
  <si>
    <t>P</t>
  </si>
  <si>
    <t>Visos Bo baimės (Beau is afraid)</t>
  </si>
  <si>
    <t>Preview</t>
  </si>
  <si>
    <t>Tvirtas užnugaris (The Covenant)</t>
  </si>
  <si>
    <t>DuKine / Universal Pictures</t>
  </si>
  <si>
    <t>Dukine / Paramount Pictures</t>
  </si>
  <si>
    <t>Apačiai: Paryžiaus gauja (Apache: Gang of Paris)</t>
  </si>
  <si>
    <t>Theatrical Film Distribution</t>
  </si>
  <si>
    <t>Įsikūnijimas. Vandens kelias (Avatar: The Way of Water)</t>
  </si>
  <si>
    <t>Tar</t>
  </si>
  <si>
    <t>8 kalnai (The Eight Mountains)</t>
  </si>
  <si>
    <t>Europos kinas</t>
  </si>
  <si>
    <t>Aklas gluosnis, mieganti  moteris (Blind Willow, Sleeping Woman)</t>
  </si>
  <si>
    <t>Vagiliautojai (Shoplifters)</t>
  </si>
  <si>
    <t>Žvaigždės vidurdienį (Stars at Noon)</t>
  </si>
  <si>
    <t>Rose Namajunas: Aš esu čempionė (Thug Rose)</t>
  </si>
  <si>
    <t>Su meile ir įsiūčiu  (Both Sides of the Blade (Fire!)</t>
  </si>
  <si>
    <t>Aš nesu ponia Bovari (I am not Madamme Bovary)</t>
  </si>
  <si>
    <t>Po saulės (After sun)</t>
  </si>
  <si>
    <t>Mariupolis 2</t>
  </si>
  <si>
    <t>Vytauto Katkaus filmų trilogija (Uogos, Kolektyviniai sodai, Miegamasis rajonas)</t>
  </si>
  <si>
    <t>Metas išeiti (Decision to Leave)</t>
  </si>
  <si>
    <t>Begalybė (L’immensita)</t>
  </si>
  <si>
    <t>Paskutinis šokis (Last Dance)</t>
  </si>
  <si>
    <t>Amžinai jauni (Forever Young)</t>
  </si>
  <si>
    <t>Sugrįžimas į Seulą (Retour à Séoul)</t>
  </si>
  <si>
    <t>A-One Films</t>
  </si>
  <si>
    <t>Dvyliktosios naktis (La nuit du 12)</t>
  </si>
  <si>
    <t xml:space="preserve"> </t>
  </si>
  <si>
    <t>Balandžio 28 d.–gegužės 4 d. Lietuvos kino teatruose rodytų filmų topas
April 28–May 4 Lithuanian top</t>
  </si>
  <si>
    <t>UFO (UFO Sweden)</t>
  </si>
  <si>
    <t>Penki velniai (Les Cinq Diables)</t>
  </si>
  <si>
    <t>Kino aljansas</t>
  </si>
  <si>
    <t>Petsi Iš Argo (Argonuts)</t>
  </si>
  <si>
    <t>Gyveno kartą Oto (Man Called Otto)</t>
  </si>
  <si>
    <t>65: Išnykimo riba (65)</t>
  </si>
  <si>
    <t>Pradingusi (Missing)</t>
  </si>
  <si>
    <t>Homo Vilutis</t>
  </si>
  <si>
    <t>Propos studija</t>
  </si>
  <si>
    <t>Total (49)</t>
  </si>
  <si>
    <t>Galaktikos sergėtojai. III dalis (Guardians of the Galaxy Vol. 3)</t>
  </si>
  <si>
    <t>Svaiginantis aukštis (Fall)</t>
  </si>
  <si>
    <t>Kilnojamos durys (Portable door)</t>
  </si>
  <si>
    <t>Baltic Content Media</t>
  </si>
  <si>
    <t>Lokių čia nėra (No Bears)</t>
  </si>
  <si>
    <t>Kitų žmonių vaikai (Other People’s Children)</t>
  </si>
  <si>
    <t>Balandžio 21–27 d. Lietuvos kino teatruose rodytų filmų topas
April 21–27 Lithuanian top</t>
  </si>
  <si>
    <t>269 560 €</t>
  </si>
  <si>
    <t>367 996 €</t>
  </si>
  <si>
    <t>Viskas iškart ir visur (Everything Everywhere All at Once)</t>
  </si>
  <si>
    <t>Juodasis lotosas (Black Lotus)</t>
  </si>
  <si>
    <t>Parazitas (Gisaengchung)</t>
  </si>
  <si>
    <t>Total (47)</t>
  </si>
  <si>
    <t>Sudegink mano laiškus (Bränn alla mina brev)</t>
  </si>
  <si>
    <t>Pamilti dar kartą (Love Again)</t>
  </si>
  <si>
    <t>Hipnotikai (Hypnotic)</t>
  </si>
  <si>
    <t>Korsažas (Corsage)</t>
  </si>
  <si>
    <t>Žydrasis kaftanas (Le bleu du caftan)</t>
  </si>
  <si>
    <t xml:space="preserve">N </t>
  </si>
  <si>
    <t>Gražuolė ir Sebastianas. Naujoji karta (Belle &amp; Sebastien – Next Generation)</t>
  </si>
  <si>
    <t>Best Film</t>
  </si>
  <si>
    <t>Juodi akiniai (Dark glasses)</t>
  </si>
  <si>
    <t>Labiau nei bet kada (Plus que jamais)</t>
  </si>
  <si>
    <t>307 332 €</t>
  </si>
  <si>
    <t>DuKine / Paramount Pictures</t>
  </si>
  <si>
    <t>Total (46)</t>
  </si>
  <si>
    <t>Gegužės 12–18 d. Lietuvos kino teatruose rodytų filmų topas
May 12–18 Lithuanian top</t>
  </si>
  <si>
    <t>Geriausi mūsų metai (The Best Years)</t>
  </si>
  <si>
    <t>Greta Garbo Films</t>
  </si>
  <si>
    <t>BlackBerry</t>
  </si>
  <si>
    <t>Svajoklis Budis 3 (Rock Dog 3)</t>
  </si>
  <si>
    <t>Ten, kur gieda vėžiai (Where the Crawdads Sing)</t>
  </si>
  <si>
    <t>Akmens sala (Enys Men)</t>
  </si>
  <si>
    <t>Vesper</t>
  </si>
  <si>
    <t>Stebėk ją (Follow Her)</t>
  </si>
  <si>
    <t>Greiti ir įsiutę 10 (Fast &amp; Furious 10)</t>
  </si>
  <si>
    <t>Lukas (Luca)</t>
  </si>
  <si>
    <t>241 909 €</t>
  </si>
  <si>
    <t>Gegužės 19–25 d. Lietuvos kino teatruose rodytų filmų topas
May 19–25 Lithuanian top</t>
  </si>
  <si>
    <t>Nekaltas (The Innocent)</t>
  </si>
  <si>
    <t>Eisiu, kiek reikės</t>
  </si>
  <si>
    <t>Total (40)</t>
  </si>
  <si>
    <t>Artbox</t>
  </si>
  <si>
    <t>Mano pakvaišęs senis (About My Father)</t>
  </si>
  <si>
    <t>Influencerė (Influencer)</t>
  </si>
  <si>
    <t>Dalilendas (Daliland)</t>
  </si>
  <si>
    <t>Undinėlė (The Little Mermaid)</t>
  </si>
  <si>
    <t>Total (42)</t>
  </si>
  <si>
    <t>Gegužės 26 d.–birželio 1 d. Lietuvos kino teatruose rodytų filmų topas
May 26–June 1 Lithuanian top</t>
  </si>
  <si>
    <t>Šventovė (Sanctuary)</t>
  </si>
  <si>
    <t>Mažasis Alanas (Lille Allan – den menneskelige antenna)</t>
  </si>
  <si>
    <t>Aš esu Zlatanas (Jag är Zlatan)</t>
  </si>
  <si>
    <t>Bloga nuo savęs (Syk Pike)</t>
  </si>
  <si>
    <t>Bjornas Borgas prieš  Makenrojų (Borg vs. McEnroe)</t>
  </si>
  <si>
    <t>Žmogus-voras: Aplink Multivistą (Spider-Man: Across The Spider-Verse)</t>
  </si>
  <si>
    <t xml:space="preserve"> N</t>
  </si>
  <si>
    <t>Tigro kelionė Himalajuose (Tigers Nest)</t>
  </si>
  <si>
    <t>Drugelio Širdis</t>
  </si>
  <si>
    <t>Lilas, Lilas, Krokodilas (Lyle Lyle Crodile)</t>
  </si>
  <si>
    <t>DC Superaugintinių lyga (DC League of Super-Pets)</t>
  </si>
  <si>
    <t>Aš esu Greta (I Am Greta)</t>
  </si>
  <si>
    <t>Kandaharas (Kandahar)</t>
  </si>
  <si>
    <t>Pakalikai 2 (Minions: The Rise of Gru)</t>
  </si>
  <si>
    <t>Rodeo</t>
  </si>
  <si>
    <t>Piktųjų karta</t>
  </si>
  <si>
    <t>Kino kultas</t>
  </si>
  <si>
    <t>Total (54)</t>
  </si>
  <si>
    <t>231 755 €</t>
  </si>
  <si>
    <t>187 127 €</t>
  </si>
  <si>
    <t>209 376 €</t>
  </si>
  <si>
    <t>Birželio 2–8 d. Lietuvos kino teatruose rodytų filmų topas
June 2–8 Lithuanian top</t>
  </si>
  <si>
    <t>Miauricijus Puikusis (Amazing Maurice)</t>
  </si>
  <si>
    <t>Robotai (Robots)</t>
  </si>
  <si>
    <t xml:space="preserve">ACME Film </t>
  </si>
  <si>
    <t>Baubas (The Boogeyman)</t>
  </si>
  <si>
    <t>Sekso pabaiga (The End of Sex)</t>
  </si>
  <si>
    <t>Transformeriai. Žvėrių atgimimas (Transformers: Rise of the Beasts)</t>
  </si>
  <si>
    <t>Asteroidų miestas (Asteroid City)</t>
  </si>
  <si>
    <t>Sent Omeras (Saint Omer)</t>
  </si>
  <si>
    <t>Birželio 9–15 d. Lietuvos kino teatruose rodytų filmų topas
June 9–15 Lithuanian top</t>
  </si>
  <si>
    <t>276 525 €</t>
  </si>
  <si>
    <t>Blyksnis (Flash)</t>
  </si>
  <si>
    <t>Dukine Film Distribution / Universal Pictures</t>
  </si>
  <si>
    <t>Dukine Film Distribution / Paramount Pictures</t>
  </si>
  <si>
    <t>Stichijos (Elemental)</t>
  </si>
  <si>
    <t>Dičkis šuo Klifordas (Clifford the Big Red Dog)</t>
  </si>
  <si>
    <t>Total (48)</t>
  </si>
  <si>
    <t>Birželio 16–22 d. Lietuvos kino teatruose rodytų filmų topas
June 16–22 Lithuanian top</t>
  </si>
  <si>
    <t>268 471 €</t>
  </si>
  <si>
    <t>Ups! Nuotykiai tęsiasi (Ooops! The adventure continues)</t>
  </si>
  <si>
    <t>Bitė Maja. Auksinis kiaušinis (Maya the Bee 3: The Golden Orb)</t>
  </si>
  <si>
    <t>Nieko asmeniško (No Hard Feelings)</t>
  </si>
  <si>
    <t>Kas nužudė Megę? (Maggie Moore(s)</t>
  </si>
  <si>
    <t>Liepsnojanti širdis (Fireheart)</t>
  </si>
  <si>
    <t>Mano mažasis karalius (King)</t>
  </si>
  <si>
    <t>Rūpintojėlis</t>
  </si>
  <si>
    <t>Suteik man sparnus (Donne moi des Ailes)</t>
  </si>
  <si>
    <t>365 647 €</t>
  </si>
  <si>
    <t>Birželio 23–29 d. Lietuvos kino teatruose rodytų filmų topas
June 23–29 Lithuanian top</t>
  </si>
  <si>
    <t>Dar vienas alibi (Alibi.com 2)</t>
  </si>
  <si>
    <t>Maskaradas (Mascarade)</t>
  </si>
  <si>
    <t>Mavka: miško siela (Mavka Forest Song)</t>
  </si>
  <si>
    <t>Indiana Džounsas ir lemties artefaktas (Indiana Jones and the Dial of Destiny)</t>
  </si>
  <si>
    <t>Jūrų pabaisa. Rubė Gilman (Ruby Gillman, Teenage Kraken)</t>
  </si>
  <si>
    <t>Total (45)</t>
  </si>
  <si>
    <t>Birželio 30–liepos 6 d. Lietuvos kino teatruose rodytų filmų topas
June 30–July 6 Lithuanian top</t>
  </si>
  <si>
    <t>Tūnąs tamsoje: Raudonos durys (Insidious: The Red Door)</t>
  </si>
  <si>
    <t>Geras tripas (Joy Ride)</t>
  </si>
  <si>
    <t>238 949 €</t>
  </si>
  <si>
    <t>Liepos 7–13 d. Lietuvos kino teatruose rodytų filmų topas
July 7–13 Lithuanian top</t>
  </si>
  <si>
    <t>328 858 €</t>
  </si>
  <si>
    <t>H4Z4RD</t>
  </si>
  <si>
    <t>Neįmanoma misija: Mirtinas atpildas. Pirma dalis (Mission: Impossible - Dead Reckoning Part One)</t>
  </si>
  <si>
    <t>Total (35)</t>
  </si>
  <si>
    <t>Liepos 14–20 d. Lietuvos kino teatruose rodytų filmų topas
July 14–20 Lithuanian top</t>
  </si>
  <si>
    <t>259 721 €</t>
  </si>
  <si>
    <t>Barbė (Barbie)</t>
  </si>
  <si>
    <t>Cukrus ir žvaigždės (Sugar and Stars)</t>
  </si>
  <si>
    <t>Total (36)</t>
  </si>
  <si>
    <t>Liepos 21–27 d. Lietuvos kino teatruose rodytų filmų topas
July 21–27 Lithuanian top</t>
  </si>
  <si>
    <t>Mauricijus Puikusis (Amazing Maurice)</t>
  </si>
  <si>
    <t>Triumfas (The Big Hit)</t>
  </si>
  <si>
    <t>Ričis didysis (Richard the Stork and the Mystery of the Great Jewel)</t>
  </si>
  <si>
    <t>Bloga nuo savęs (Syk pike)</t>
  </si>
  <si>
    <t>Voratinklis (Cobweb)</t>
  </si>
  <si>
    <t>Openheimeris (Oppenheimer)</t>
  </si>
  <si>
    <t>Dvaras, kuriame vaidenasi (Haunted Mansion)</t>
  </si>
  <si>
    <t>Raudonoji panda (Turning Red)</t>
  </si>
  <si>
    <t>Dainuok 2 (Sing 2)</t>
  </si>
  <si>
    <t>Blogiukai (The Bad Guys)</t>
  </si>
  <si>
    <t>332 080 €</t>
  </si>
  <si>
    <t>Liepos 28 d.–rugpjūčio 03 d. Lietuvos kino teatruose rodytų filmų topas
July 28–August 03 Lithuanian top</t>
  </si>
  <si>
    <t>Megalodonas 2: Bedugnė (Meg 2: The Trench)</t>
  </si>
  <si>
    <t>Kas nužudė Megę? (Maggie Moore(s))</t>
  </si>
  <si>
    <t> 2023-06-16</t>
  </si>
  <si>
    <t>953 915 €</t>
  </si>
  <si>
    <t>Vėžliukai nindzės: mutantų siautėjimas (Teenage Mutant Ninja Turtles: Mutant Mayhem)</t>
  </si>
  <si>
    <t>Apkabink mane (Hug Me)</t>
  </si>
  <si>
    <t>Karavadžo šešėlis (Caravaggio's Shadow)</t>
  </si>
  <si>
    <t>Total (28)</t>
  </si>
  <si>
    <t>Viskas iškart ir visur (Everything Everywhere All At Once)</t>
  </si>
  <si>
    <t>Megalodonas 2: bedugnė (Meg 2: The Trench)</t>
  </si>
  <si>
    <t>Gran Turismo</t>
  </si>
  <si>
    <t>Ežiukas Sonic 2 (Sonic the Hedgehog 2)</t>
  </si>
  <si>
    <t>Aklas gluosnis, mieganti moteris (Blind Willow, Sleeping Woman )</t>
  </si>
  <si>
    <t>Total (32)</t>
  </si>
  <si>
    <t>726 010 €</t>
  </si>
  <si>
    <t>Rugpjūčio 4–10 d. Lietuvos kino teatruose rodytų filmų topas
August 4–10 Lithuanian top</t>
  </si>
  <si>
    <t>Rugpjūčio 11–17 d. Lietuvos kino teatruose rodytų filmų topas
August 11–17 Lithuanian top</t>
  </si>
  <si>
    <t>Mėlynas vabalas (Blue Beetle)</t>
  </si>
  <si>
    <t>Paskutinė Demetros kelionė (Last Voyage of Demeter)</t>
  </si>
  <si>
    <t>Sacharos princai (Princes of the Desert)</t>
  </si>
  <si>
    <t>Auksasnapis (Goldbeak)</t>
  </si>
  <si>
    <t>Katytė ir aš (Cat's Life)</t>
  </si>
  <si>
    <t>Kol mirtis mus išskirs (Til Death Do Us Part)</t>
  </si>
  <si>
    <t>578 176 €</t>
  </si>
  <si>
    <t>De humani corporis fabrica</t>
  </si>
  <si>
    <t>Vieną gražų rytą (Un beau matin)</t>
  </si>
  <si>
    <t>Prakeikta žemė (Vanskabte land)</t>
  </si>
  <si>
    <t>Salų tyla (Tourment sur les îles)</t>
  </si>
  <si>
    <t>Gerasis bosas (El Buen Patrón)</t>
  </si>
  <si>
    <t>399 255 €</t>
  </si>
  <si>
    <t>Rugpjūčio 18–24 d. Lietuvos kino teatruose rodytų filmų topas
August 18–24 Lithuanian top</t>
  </si>
  <si>
    <t>Disko berniukas (Disco Boy)</t>
  </si>
  <si>
    <t>Du bilietai į Graikiją (Les Cyclades)</t>
  </si>
  <si>
    <t>Kartu iš meilės šunims (Puppy love)</t>
  </si>
  <si>
    <t>Atpildas (Retribution)</t>
  </si>
  <si>
    <t>Laisvės garsas (Sound of Freedom)</t>
  </si>
  <si>
    <t>Keistas pasaulis (Strange World)</t>
  </si>
  <si>
    <t>Ričis didysis 2 (Richard the Stork and the Mystery of the Great Jewel)</t>
  </si>
  <si>
    <t>Total (30)</t>
  </si>
  <si>
    <t>Rugpjūčio 25–31 d. Lietuvos kino teatruose rodytų filmų topas
August 25–31 Lithuanian top</t>
  </si>
  <si>
    <t>301 612 €</t>
  </si>
  <si>
    <t xml:space="preserve"> 2023-08-25</t>
  </si>
  <si>
    <t>Ekvalaizeris 3: Paskutinė kova (Equalizer 3)</t>
  </si>
  <si>
    <t>Kalbėk su manimi (Talk to Me)</t>
  </si>
  <si>
    <t>Karo ponis (War Pony)</t>
  </si>
  <si>
    <t>Greiti ir pūkuoti (Rally Road Racers)</t>
  </si>
  <si>
    <t>Laiškas Ukrainai</t>
  </si>
  <si>
    <t>Taip toliau</t>
  </si>
  <si>
    <t>Total (38)</t>
  </si>
  <si>
    <t>Rugsėjo 1–7 d. Lietuvos kino teatruose rodytų filmų topas
September 1–7 Lithuanian top</t>
  </si>
  <si>
    <t>336 637 €</t>
  </si>
  <si>
    <t>Lesė.Naujas nuotykis (Lassie – Ein neues Abenteuer)</t>
  </si>
  <si>
    <t>Žana Diu Bari. Karaliaus favoritė (Jeanne Du Barry)</t>
  </si>
  <si>
    <t>Gilyn (The Dive)</t>
  </si>
  <si>
    <t>Vienuolė 2 (The Nun II)</t>
  </si>
  <si>
    <t>Zoja ir Audra (Tempête)</t>
  </si>
  <si>
    <t>Paskutinis autobusas (Last Bus)</t>
  </si>
  <si>
    <t>Total (39)</t>
  </si>
  <si>
    <t>Rugsėjo 8–14 d. Lietuvos kino teatruose rodytų filmų topas
September 8–14 Lithuanian top</t>
  </si>
  <si>
    <t>276 912 €</t>
  </si>
  <si>
    <t>Vakar (Yesterday)</t>
  </si>
  <si>
    <t>After. Amžinai (After Everything)</t>
  </si>
  <si>
    <t>Stebuklingoji boružėlė ir juodasis katinas (Ladybug &amp; Cat Noir: The Awakening)</t>
  </si>
  <si>
    <t>Venecijos šmėklos (A Haunting in Venice)</t>
  </si>
  <si>
    <t>Total (37)</t>
  </si>
  <si>
    <t>Rugsėjo 15–21 d. Lietuvos kino teatruose rodytų filmų topas
September 15–21 Lithuanian top</t>
  </si>
  <si>
    <t>229 177 €</t>
  </si>
  <si>
    <t>Tu man nieko neprimeni</t>
  </si>
  <si>
    <t>Nesunaikinami 4 (Expend4bles)</t>
  </si>
  <si>
    <t>Dovbušas (Dovbush)</t>
  </si>
  <si>
    <t>Film Jam</t>
  </si>
  <si>
    <t>Rugsėjo 22–28 d. Lietuvos kino teatruose rodytų filmų topas
September 22–28 Lithuanian top</t>
  </si>
  <si>
    <t>255 830 €</t>
  </si>
  <si>
    <t>Makliai (Die Mucklas...und wie sie zu Pettersson und Findus kamen)</t>
  </si>
  <si>
    <t>Dideli vaikai (Quand du seras grand)</t>
  </si>
  <si>
    <t>Tiesiog sėkmė (Coup de chance)</t>
  </si>
  <si>
    <t>Paslaptinga požemių karalystė (The Secret Kingdom)</t>
  </si>
  <si>
    <t>Jis gyvena viduje (It Lives Inside)</t>
  </si>
  <si>
    <t>Kaip „Titanikas“ mane išgelbėjo (How the Titanic Became My Lifeboat)</t>
  </si>
  <si>
    <t>Katakas. Kelionė į ledynų kraštą (Katak: The Brave Beluga)</t>
  </si>
  <si>
    <t>Aš gyvas</t>
  </si>
  <si>
    <t>Stambus planas</t>
  </si>
  <si>
    <t xml:space="preserve"> Preview</t>
  </si>
  <si>
    <t>Rugsėjo 29–spalio 5 d. Lietuvos kino teatruose rodytų filmų topas
September 29–October 5 Lithuanian top</t>
  </si>
  <si>
    <t>296 645 €</t>
  </si>
  <si>
    <t>Bučiuoju, Juozas</t>
  </si>
  <si>
    <t>Cinema Ads</t>
  </si>
  <si>
    <t>Paskutinės vestuvės (Over &amp; Out)</t>
  </si>
  <si>
    <t>Pjūklas X (Saw X)</t>
  </si>
  <si>
    <t>Egzorcistas: tikintysis (Exorcist: The Believer)</t>
  </si>
  <si>
    <t>Kūrėjas (The Creator)</t>
  </si>
  <si>
    <t>381 220 €</t>
  </si>
  <si>
    <t>Laukinė širdis (Ponyherz)</t>
  </si>
  <si>
    <t>Samsara</t>
  </si>
  <si>
    <t>9-as žingsnis</t>
  </si>
  <si>
    <t>Kvaili pinigai (Dumb Money)</t>
  </si>
  <si>
    <t>Total (34)</t>
  </si>
  <si>
    <t>Spalio 6–12 d. Lietuvos kino teatruose rodytų filmų topas
October 6–12 Lithuanian top</t>
  </si>
  <si>
    <t>Spalio 13–19 d. Lietuvos kino teatruose rodytų filmų topas
October 13–19 Lithuanian top</t>
  </si>
  <si>
    <t>399 268 €</t>
  </si>
  <si>
    <t>Kvailas melas (Sick Girl)</t>
  </si>
  <si>
    <t>Troliai 3 (Trolls Band Together)</t>
  </si>
  <si>
    <t>Nakties persekiotojas (Night Of The Hunted)</t>
  </si>
  <si>
    <t>Aš esu Rožytė</t>
  </si>
  <si>
    <t>Ketvirta versija</t>
  </si>
  <si>
    <t>Pirties seserys</t>
  </si>
  <si>
    <t>Kino pasaka</t>
  </si>
  <si>
    <t>Spalio 20–26 d. Lietuvos kino teatruose rodytų filmų topas
October 20–26 Lithuanian top</t>
  </si>
  <si>
    <t>383 991 €</t>
  </si>
  <si>
    <t>Bilietas</t>
  </si>
  <si>
    <t>Pilietinė medija</t>
  </si>
  <si>
    <t>84 938 </t>
  </si>
  <si>
    <t>Gėlių mėnulio žudikai (Killers of the Flower Moon)</t>
  </si>
  <si>
    <t>Penkios naktys pas Fredį (Five Nights at Freddy's)</t>
  </si>
  <si>
    <t>Šunyčiai patruliai 2. Galingas filmas (PAW Patrol: The Mighty Movie)</t>
  </si>
  <si>
    <t>Pranašystė Lietuvai</t>
  </si>
  <si>
    <t xml:space="preserve">Maobori production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</si>
</sst>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6" formatCode="#,##0\ &quot;€&quot;;[Red]\-#,##0\ &quot;€&quot;"/>
    <numFmt numFmtId="164" formatCode=";;;"/>
    <numFmt numFmtId="165" formatCode="#,##0\ &quot;€&quot;"/>
    <numFmt numFmtId="166" formatCode="yyyy/mm/dd;@"/>
    <numFmt numFmtId="167" formatCode="#,##0\ &quot;€&quot;;[Red]#,##0\ &quot;€&quot;"/>
    <numFmt numFmtId="168" formatCode="#,##0;[Red]#,##0"/>
    <numFmt numFmtId="169" formatCode="0;[Red]0"/>
    <numFmt numFmtId="170" formatCode="#,##0\ _€"/>
  </numFmts>
  <fonts count="10" x14ac:knownFonts="1">
    <font>
      <sz val="9"/>
      <color theme="1"/>
      <name val="Arial"/>
      <family val="2"/>
      <charset val="186"/>
    </font>
    <font>
      <sz val="9"/>
      <color theme="1"/>
      <name val="Verdana"/>
      <family val="2"/>
      <charset val="186"/>
    </font>
    <font>
      <b/>
      <sz val="12"/>
      <color theme="1"/>
      <name val="Verdana"/>
      <family val="2"/>
      <charset val="186"/>
    </font>
    <font>
      <sz val="11"/>
      <color theme="1"/>
      <name val="Calibri"/>
      <family val="2"/>
      <scheme val="minor"/>
    </font>
    <font>
      <sz val="9"/>
      <name val="Verdana"/>
      <family val="2"/>
      <charset val="186"/>
    </font>
    <font>
      <sz val="10"/>
      <color theme="1"/>
      <name val="Verdana"/>
      <family val="2"/>
      <charset val="186"/>
    </font>
    <font>
      <sz val="10"/>
      <name val="Verdana"/>
      <family val="2"/>
      <charset val="186"/>
    </font>
    <font>
      <sz val="8"/>
      <name val="Arial"/>
      <family val="2"/>
      <charset val="186"/>
    </font>
    <font>
      <sz val="10"/>
      <color rgb="FF000000"/>
      <name val="Verdana"/>
      <family val="2"/>
      <charset val="186"/>
    </font>
    <font>
      <sz val="9"/>
      <color theme="1"/>
      <name val="Calibri"/>
      <family val="2"/>
      <charset val="186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8EEF8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3" fillId="0" borderId="0"/>
    <xf numFmtId="0" fontId="9" fillId="0" borderId="0"/>
    <xf numFmtId="0" fontId="3" fillId="0" borderId="0"/>
  </cellStyleXfs>
  <cellXfs count="104">
    <xf numFmtId="0" fontId="0" fillId="0" borderId="0" xfId="0"/>
    <xf numFmtId="0" fontId="1" fillId="0" borderId="0" xfId="0" applyFont="1"/>
    <xf numFmtId="165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vertical="center"/>
    </xf>
    <xf numFmtId="49" fontId="4" fillId="0" borderId="0" xfId="0" applyNumberFormat="1" applyFont="1" applyAlignment="1">
      <alignment horizontal="center"/>
    </xf>
    <xf numFmtId="0" fontId="5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left" vertical="center" wrapText="1"/>
    </xf>
    <xf numFmtId="165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164" fontId="6" fillId="3" borderId="2" xfId="0" applyNumberFormat="1" applyFont="1" applyFill="1" applyBorder="1" applyAlignment="1">
      <alignment horizontal="center" wrapText="1"/>
    </xf>
    <xf numFmtId="49" fontId="6" fillId="3" borderId="2" xfId="0" applyNumberFormat="1" applyFont="1" applyFill="1" applyBorder="1" applyAlignment="1">
      <alignment horizontal="center" wrapText="1"/>
    </xf>
    <xf numFmtId="49" fontId="6" fillId="3" borderId="3" xfId="0" applyNumberFormat="1" applyFont="1" applyFill="1" applyBorder="1" applyAlignment="1">
      <alignment horizontal="center" wrapText="1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left" vertical="center" wrapText="1"/>
    </xf>
    <xf numFmtId="165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164" fontId="6" fillId="3" borderId="1" xfId="0" applyNumberFormat="1" applyFont="1" applyFill="1" applyBorder="1" applyAlignment="1">
      <alignment horizontal="center" wrapText="1"/>
    </xf>
    <xf numFmtId="0" fontId="4" fillId="0" borderId="0" xfId="0" applyFont="1"/>
    <xf numFmtId="165" fontId="6" fillId="0" borderId="0" xfId="1" applyNumberFormat="1" applyFont="1" applyAlignment="1">
      <alignment horizontal="center" vertical="center"/>
    </xf>
    <xf numFmtId="3" fontId="6" fillId="0" borderId="0" xfId="1" applyNumberFormat="1" applyFont="1" applyAlignment="1">
      <alignment horizontal="center" vertical="center"/>
    </xf>
    <xf numFmtId="49" fontId="6" fillId="0" borderId="0" xfId="0" applyNumberFormat="1" applyFont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165" fontId="5" fillId="0" borderId="0" xfId="1" applyNumberFormat="1" applyFont="1" applyAlignment="1">
      <alignment horizontal="center" vertical="center"/>
    </xf>
    <xf numFmtId="3" fontId="5" fillId="0" borderId="0" xfId="1" applyNumberFormat="1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165" fontId="1" fillId="0" borderId="0" xfId="0" applyNumberFormat="1" applyFont="1"/>
    <xf numFmtId="1" fontId="1" fillId="0" borderId="0" xfId="0" applyNumberFormat="1" applyFont="1"/>
    <xf numFmtId="166" fontId="1" fillId="0" borderId="0" xfId="0" applyNumberFormat="1" applyFont="1"/>
    <xf numFmtId="49" fontId="1" fillId="0" borderId="0" xfId="0" applyNumberFormat="1" applyFont="1"/>
    <xf numFmtId="0" fontId="5" fillId="3" borderId="0" xfId="0" applyFont="1" applyFill="1" applyAlignment="1">
      <alignment horizontal="center" vertical="center"/>
    </xf>
    <xf numFmtId="10" fontId="5" fillId="3" borderId="0" xfId="0" applyNumberFormat="1" applyFont="1" applyFill="1" applyAlignment="1">
      <alignment horizontal="center" vertical="center"/>
    </xf>
    <xf numFmtId="3" fontId="5" fillId="3" borderId="0" xfId="0" applyNumberFormat="1" applyFont="1" applyFill="1" applyAlignment="1">
      <alignment horizontal="center" vertical="center"/>
    </xf>
    <xf numFmtId="0" fontId="1" fillId="3" borderId="0" xfId="0" applyFont="1" applyFill="1"/>
    <xf numFmtId="0" fontId="5" fillId="0" borderId="0" xfId="0" applyFont="1" applyAlignment="1">
      <alignment horizontal="left" vertical="center"/>
    </xf>
    <xf numFmtId="0" fontId="5" fillId="3" borderId="0" xfId="0" applyFont="1" applyFill="1" applyAlignment="1">
      <alignment horizontal="left" vertical="center"/>
    </xf>
    <xf numFmtId="165" fontId="5" fillId="3" borderId="0" xfId="0" applyNumberFormat="1" applyFont="1" applyFill="1" applyAlignment="1">
      <alignment horizontal="center" vertical="center"/>
    </xf>
    <xf numFmtId="0" fontId="5" fillId="3" borderId="0" xfId="0" applyFont="1" applyFill="1"/>
    <xf numFmtId="6" fontId="5" fillId="3" borderId="0" xfId="0" applyNumberFormat="1" applyFont="1" applyFill="1" applyAlignment="1">
      <alignment horizontal="center" vertical="center"/>
    </xf>
    <xf numFmtId="1" fontId="6" fillId="3" borderId="2" xfId="0" applyNumberFormat="1" applyFont="1" applyFill="1" applyBorder="1" applyAlignment="1">
      <alignment horizontal="center" wrapText="1"/>
    </xf>
    <xf numFmtId="1" fontId="5" fillId="3" borderId="0" xfId="0" applyNumberFormat="1" applyFont="1" applyFill="1" applyAlignment="1">
      <alignment horizontal="left" vertical="center"/>
    </xf>
    <xf numFmtId="165" fontId="6" fillId="3" borderId="2" xfId="0" applyNumberFormat="1" applyFont="1" applyFill="1" applyBorder="1" applyAlignment="1">
      <alignment horizontal="center" wrapText="1"/>
    </xf>
    <xf numFmtId="165" fontId="5" fillId="3" borderId="0" xfId="0" applyNumberFormat="1" applyFont="1" applyFill="1" applyAlignment="1">
      <alignment horizontal="left" vertical="center"/>
    </xf>
    <xf numFmtId="3" fontId="6" fillId="3" borderId="2" xfId="0" applyNumberFormat="1" applyFont="1" applyFill="1" applyBorder="1" applyAlignment="1">
      <alignment horizontal="center" wrapText="1"/>
    </xf>
    <xf numFmtId="3" fontId="5" fillId="3" borderId="0" xfId="0" applyNumberFormat="1" applyFont="1" applyFill="1" applyAlignment="1">
      <alignment horizontal="left" vertical="center"/>
    </xf>
    <xf numFmtId="3" fontId="1" fillId="0" borderId="0" xfId="0" applyNumberFormat="1" applyFont="1"/>
    <xf numFmtId="10" fontId="6" fillId="3" borderId="2" xfId="0" applyNumberFormat="1" applyFont="1" applyFill="1" applyBorder="1" applyAlignment="1">
      <alignment horizontal="center" wrapText="1"/>
    </xf>
    <xf numFmtId="10" fontId="1" fillId="0" borderId="0" xfId="0" applyNumberFormat="1" applyFont="1"/>
    <xf numFmtId="166" fontId="6" fillId="3" borderId="2" xfId="0" applyNumberFormat="1" applyFont="1" applyFill="1" applyBorder="1" applyAlignment="1">
      <alignment horizontal="center" wrapText="1"/>
    </xf>
    <xf numFmtId="166" fontId="5" fillId="3" borderId="0" xfId="0" applyNumberFormat="1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49" fontId="5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6" fillId="3" borderId="2" xfId="0" applyNumberFormat="1" applyFont="1" applyFill="1" applyBorder="1" applyAlignment="1">
      <alignment horizontal="center" vertical="center" wrapText="1"/>
    </xf>
    <xf numFmtId="1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/>
    </xf>
    <xf numFmtId="1" fontId="5" fillId="3" borderId="0" xfId="0" applyNumberFormat="1" applyFont="1" applyFill="1" applyAlignment="1">
      <alignment horizontal="center" vertical="center"/>
    </xf>
    <xf numFmtId="3" fontId="6" fillId="0" borderId="0" xfId="0" applyNumberFormat="1" applyFont="1" applyAlignment="1">
      <alignment horizontal="center" vertical="center" wrapText="1"/>
    </xf>
    <xf numFmtId="1" fontId="1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center" vertical="center" wrapText="1"/>
    </xf>
    <xf numFmtId="167" fontId="5" fillId="0" borderId="0" xfId="0" applyNumberFormat="1" applyFont="1" applyAlignment="1">
      <alignment horizontal="center" vertical="center"/>
    </xf>
    <xf numFmtId="49" fontId="8" fillId="0" borderId="0" xfId="0" applyNumberFormat="1" applyFont="1"/>
    <xf numFmtId="168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49" fontId="6" fillId="0" borderId="0" xfId="0" applyNumberFormat="1" applyFont="1"/>
    <xf numFmtId="166" fontId="6" fillId="0" borderId="0" xfId="0" applyNumberFormat="1" applyFont="1" applyAlignment="1">
      <alignment horizontal="center" vertical="center" wrapText="1"/>
    </xf>
    <xf numFmtId="49" fontId="5" fillId="0" borderId="0" xfId="0" applyNumberFormat="1" applyFont="1"/>
    <xf numFmtId="0" fontId="5" fillId="3" borderId="0" xfId="0" applyFont="1" applyFill="1" applyAlignment="1">
      <alignment horizontal="left" vertical="center" wrapText="1"/>
    </xf>
    <xf numFmtId="0" fontId="1" fillId="0" borderId="0" xfId="0" applyFont="1" applyAlignment="1">
      <alignment wrapText="1"/>
    </xf>
    <xf numFmtId="0" fontId="4" fillId="4" borderId="0" xfId="0" applyFont="1" applyFill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70" fontId="6" fillId="0" borderId="0" xfId="0" applyNumberFormat="1" applyFont="1" applyAlignment="1">
      <alignment horizontal="center" vertical="center"/>
    </xf>
    <xf numFmtId="170" fontId="5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" fontId="6" fillId="0" borderId="0" xfId="0" applyNumberFormat="1" applyFont="1" applyFill="1" applyAlignment="1">
      <alignment horizontal="center" vertical="center"/>
    </xf>
    <xf numFmtId="49" fontId="6" fillId="0" borderId="0" xfId="0" applyNumberFormat="1" applyFont="1" applyFill="1" applyAlignment="1">
      <alignment horizontal="left" vertical="center" wrapText="1"/>
    </xf>
    <xf numFmtId="165" fontId="6" fillId="0" borderId="0" xfId="0" applyNumberFormat="1" applyFont="1" applyFill="1" applyAlignment="1">
      <alignment horizontal="center" vertical="center"/>
    </xf>
    <xf numFmtId="10" fontId="6" fillId="0" borderId="0" xfId="0" applyNumberFormat="1" applyFont="1" applyFill="1" applyAlignment="1">
      <alignment horizontal="center" vertical="center"/>
    </xf>
    <xf numFmtId="3" fontId="6" fillId="0" borderId="0" xfId="0" applyNumberFormat="1" applyFont="1" applyFill="1" applyAlignment="1">
      <alignment horizontal="center" vertical="center"/>
    </xf>
    <xf numFmtId="170" fontId="6" fillId="0" borderId="0" xfId="0" applyNumberFormat="1" applyFont="1" applyFill="1" applyAlignment="1">
      <alignment horizontal="center" vertical="center"/>
    </xf>
    <xf numFmtId="166" fontId="6" fillId="0" borderId="0" xfId="0" applyNumberFormat="1" applyFont="1" applyFill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 wrapText="1"/>
    </xf>
    <xf numFmtId="49" fontId="6" fillId="0" borderId="0" xfId="0" applyNumberFormat="1" applyFont="1" applyFill="1"/>
    <xf numFmtId="0" fontId="4" fillId="0" borderId="0" xfId="0" applyFont="1" applyFill="1"/>
    <xf numFmtId="167" fontId="6" fillId="0" borderId="0" xfId="0" applyNumberFormat="1" applyFont="1" applyFill="1" applyAlignment="1">
      <alignment horizontal="center" vertical="center"/>
    </xf>
    <xf numFmtId="168" fontId="6" fillId="0" borderId="0" xfId="0" applyNumberFormat="1" applyFont="1" applyFill="1" applyAlignment="1">
      <alignment horizontal="center" vertical="center"/>
    </xf>
    <xf numFmtId="169" fontId="6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</cellXfs>
  <cellStyles count="4">
    <cellStyle name="Įprastas 2" xfId="3" xr:uid="{396E3B0E-2A9B-4C80-8142-E7C88E45AF9C}"/>
    <cellStyle name="Normal" xfId="0" builtinId="0"/>
    <cellStyle name="Normal 2" xfId="2" xr:uid="{3B22FB3B-1632-42EF-AA1B-32CB355C9DAF}"/>
    <cellStyle name="Normal 2 4" xfId="1" xr:uid="{00000000-0005-0000-0000-000001000000}"/>
  </cellStyles>
  <dxfs count="89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70" formatCode="#,##0\ _€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0" formatCode="#,##0\ &quot;€&quot;;[Red]\-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ill>
        <patternFill>
          <fgColor indexed="64"/>
          <bgColor rgb="FFE8EEF8"/>
        </patternFill>
      </fill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fill>
        <patternFill patternType="solid">
          <fgColor rgb="FF000000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8" formatCode="#,##0;[Red]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8" formatCode="#,##0;[Red]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8" formatCode="#,##0;[Red]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70" formatCode="#,##0\ _€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5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rgb="FFD1E7D8"/>
          <bgColor theme="8" tint="0.79998168889431442"/>
        </patternFill>
      </fill>
    </dxf>
    <dxf>
      <fill>
        <patternFill>
          <bgColor theme="4" tint="0.79998168889431442"/>
        </patternFill>
      </fill>
    </dxf>
  </dxfs>
  <tableStyles count="2" defaultTableStyle="TableStyleMedium2" defaultPivotStyle="PivotStyleLight16">
    <tableStyle name="Table Style 1" pivot="0" count="1" xr9:uid="{0EEDF895-ABA7-4BDC-BFB1-553B25394E7D}">
      <tableStyleElement type="wholeTable" dxfId="897"/>
    </tableStyle>
    <tableStyle name="Table Style 2" pivot="0" count="1" xr9:uid="{27931E3F-712C-485E-A1F4-53DFE01A40F1}">
      <tableStyleElement type="wholeTable" dxfId="896"/>
    </tableStyle>
  </tableStyles>
  <colors>
    <mruColors>
      <color rgb="FFE8EEF8"/>
      <color rgb="FFEDF7F7"/>
      <color rgb="FFDDEDEF"/>
      <color rgb="FFD1E7D8"/>
      <color rgb="FFDEEEE3"/>
      <color rgb="FFD6EADC"/>
      <color rgb="FFBFD3C5"/>
      <color rgb="FFE7F5F0"/>
      <color rgb="FFC9E5CE"/>
      <color rgb="FFD4E6D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1B098D5A-2D3D-48A6-B320-A706E8761FD4}" name="Table1324587910111213141516171819202122232624252728" displayName="Table1324587910111213141516171819202122232624252728" ref="A2:O43" totalsRowCount="1" headerRowDxfId="32" dataDxfId="31" headerRowBorderDxfId="30">
  <sortState xmlns:xlrd2="http://schemas.microsoft.com/office/spreadsheetml/2017/richdata2" ref="A3:O42">
    <sortCondition descending="1" ref="D3:D42"/>
  </sortState>
  <tableColumns count="15">
    <tableColumn id="1" xr3:uid="{A5A91B82-163A-4E11-8487-8116109B7C97}" name="#" dataDxfId="29" totalsRowDxfId="14"/>
    <tableColumn id="2" xr3:uid="{F0BA953C-2A11-474D-8616-CF8F79E34BC8}" name="#_x000a_LW" dataDxfId="28" totalsRowDxfId="13"/>
    <tableColumn id="3" xr3:uid="{D904759E-BC66-4A00-8B26-924BA6E0878F}" name="Filmas _x000a_(Movie)" totalsRowLabel="Total (40)" dataDxfId="27" totalsRowDxfId="12"/>
    <tableColumn id="4" xr3:uid="{4CFDEFEF-AD91-4EA2-8D06-B15D7CBA49BB}" name="Pajamos _x000a_(GBO)" totalsRowFunction="sum" dataDxfId="26" totalsRowDxfId="11"/>
    <tableColumn id="5" xr3:uid="{F32567FA-59CA-4A96-A1CE-757EE71D24EC}" name="Pajamos _x000a_praeita sav._x000a_(GBO LW)" totalsRowLabel="383 991 €" dataDxfId="25" totalsRowDxfId="10"/>
    <tableColumn id="6" xr3:uid="{D44680D3-BE23-48C8-82B2-694F810D5EB4}" name="Pakitimas_x000a_(Change)" totalsRowFunction="custom" dataDxfId="24" totalsRowDxfId="9">
      <totalsRowFormula>(D43-E43)/E43</totalsRowFormula>
    </tableColumn>
    <tableColumn id="7" xr3:uid="{0B248FAB-B686-45DA-8712-5F97E63075CB}" name="Žiūrovų sk. _x000a_(ADM)" totalsRowFunction="sum" dataDxfId="23" totalsRowDxfId="8"/>
    <tableColumn id="8" xr3:uid="{84FEC58B-A72B-4FFF-99E0-73604AD9ECA5}" name="Seansų sk. _x000a_(Show count)" dataDxfId="22" totalsRowDxfId="7"/>
    <tableColumn id="9" xr3:uid="{0C212FF5-B0B3-440F-A4D0-DD42AC78D32C}" name="Lankomumo vid._x000a_(Average ADM)" dataDxfId="16" totalsRowDxfId="6">
      <calculatedColumnFormula>G3/H3</calculatedColumnFormula>
    </tableColumn>
    <tableColumn id="10" xr3:uid="{5D221F2F-A0FD-439C-B0E0-C4412BD6B988}" name="Kopijų sk. _x000a_(DCO count)" dataDxfId="17" totalsRowDxfId="5"/>
    <tableColumn id="11" xr3:uid="{EF3B0E13-9B9C-421F-920D-DB563B2B6AB7}" name="Rodymo savaitė_x000a_(Week on screen)" dataDxfId="15" totalsRowDxfId="4"/>
    <tableColumn id="12" xr3:uid="{B5D9B2D9-CD0C-4B16-8BA9-F94AB19EA4B0}" name="Bendros pajamos _x000a_(Total GBO)" dataDxfId="21" totalsRowDxfId="3"/>
    <tableColumn id="13" xr3:uid="{68D11E40-0DC6-4AAA-AABE-08C51B607267}" name="Bendras žiūrovų sk._x000a_(Total ADM)" dataDxfId="20" totalsRowDxfId="2"/>
    <tableColumn id="14" xr3:uid="{C1279A7D-8CD7-491D-938C-C11D35EE3A98}" name="Premjeros data _x000a_(Release date)" dataDxfId="19" totalsRowDxfId="1"/>
    <tableColumn id="15" xr3:uid="{8CB4C56F-2953-4450-978D-654254428B58}" name="Platintojas _x000a_(Distributor)" dataDxfId="18" totalsRowDxfId="0"/>
  </tableColumns>
  <tableStyleInfo name="TableStyleLight1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38AAEC26-7AD7-4EB6-AB07-20496D3BF423}" name="Table1324587910111213141516171819" displayName="Table1324587910111213141516171819" ref="A2:O33" totalsRowCount="1" headerRowDxfId="631" dataDxfId="629" headerRowBorderDxfId="630">
  <sortState xmlns:xlrd2="http://schemas.microsoft.com/office/spreadsheetml/2017/richdata2" ref="A3:O32">
    <sortCondition descending="1" ref="D3:D32"/>
  </sortState>
  <tableColumns count="15">
    <tableColumn id="1" xr3:uid="{9365BCA5-DCD6-4A3C-B671-8D78E47B81F7}" name="#" dataDxfId="628" totalsRowDxfId="627"/>
    <tableColumn id="2" xr3:uid="{C0C41801-6F6B-4D95-9AB9-74175AD07618}" name="#_x000a_LW" dataDxfId="626" totalsRowDxfId="625"/>
    <tableColumn id="3" xr3:uid="{CAC71C40-AF7D-420B-A540-23A83B876B2B}" name="Filmas _x000a_(Movie)" totalsRowLabel="Total (30)" dataDxfId="624" totalsRowDxfId="623"/>
    <tableColumn id="4" xr3:uid="{5B9EA74F-69F8-4634-8450-FBC35D5B2FF0}" name="Pajamos _x000a_(GBO)" totalsRowFunction="sum" dataDxfId="622" totalsRowDxfId="621"/>
    <tableColumn id="5" xr3:uid="{55F294BE-3081-40B6-A623-FB7854BC29BA}" name="Pajamos _x000a_praeita sav._x000a_(GBO LW)" totalsRowLabel="399 255 €" dataDxfId="620" totalsRowDxfId="619"/>
    <tableColumn id="6" xr3:uid="{DCDB0BF6-9C12-4E0A-8D92-531DA4FB0AED}" name="Pakitimas_x000a_(Change)" totalsRowFunction="custom" dataDxfId="618" totalsRowDxfId="617">
      <totalsRowFormula>(D33-E33)/E33</totalsRowFormula>
    </tableColumn>
    <tableColumn id="7" xr3:uid="{D4CA8126-32B2-4676-9EFC-0D8E15CF885C}" name="Žiūrovų sk. _x000a_(ADM)" totalsRowFunction="sum" dataDxfId="616" totalsRowDxfId="615"/>
    <tableColumn id="8" xr3:uid="{DEA761A1-8F11-4B74-A579-928467A6DC23}" name="Seansų sk. _x000a_(Show count)" dataDxfId="614" totalsRowDxfId="613"/>
    <tableColumn id="9" xr3:uid="{9B6E694E-F571-45F2-8CB3-B2B19CE17D4B}" name="Lankomumo vid._x000a_(Average ADM)" dataDxfId="612" totalsRowDxfId="611">
      <calculatedColumnFormula>G3/H3</calculatedColumnFormula>
    </tableColumn>
    <tableColumn id="10" xr3:uid="{F0A7789F-55E7-4B78-9F0E-D4738A31E77F}" name="Kopijų sk. _x000a_(DCO count)" dataDxfId="610" totalsRowDxfId="609"/>
    <tableColumn id="11" xr3:uid="{3FEA8C18-FFB6-4BA1-A7BE-9571C0BB0F5E}" name="Rodymo savaitė_x000a_(Week on screen)" dataDxfId="608" totalsRowDxfId="607"/>
    <tableColumn id="12" xr3:uid="{2CB484F3-6E54-41DB-83CF-7A89AFFC935C}" name="Bendros pajamos _x000a_(Total GBO)" dataDxfId="606" totalsRowDxfId="605"/>
    <tableColumn id="13" xr3:uid="{DD05A5EF-B951-4FDF-A33E-F44E62B117C8}" name="Bendras žiūrovų sk._x000a_(Total ADM)" dataDxfId="604" totalsRowDxfId="603"/>
    <tableColumn id="14" xr3:uid="{9C003684-CB26-4FB3-8104-5CC28DF59DC8}" name="Premjeros data _x000a_(Release date)" dataDxfId="602" totalsRowDxfId="601"/>
    <tableColumn id="15" xr3:uid="{AAC7C196-0BFA-435A-8F90-CFD3CDEBFD47}" name="Platintojas _x000a_(Distributor)" dataDxfId="600" totalsRowDxfId="599"/>
  </tableColumns>
  <tableStyleInfo name="TableStyleLight1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922CA84C-4C44-4907-A878-FE9495FB086B}" name="Table13245879101112131415161718" displayName="Table13245879101112131415161718" ref="A2:O41" totalsRowCount="1" headerRowDxfId="598" dataDxfId="596" headerRowBorderDxfId="597">
  <sortState xmlns:xlrd2="http://schemas.microsoft.com/office/spreadsheetml/2017/richdata2" ref="A3:O40">
    <sortCondition descending="1" ref="D3:D40"/>
  </sortState>
  <tableColumns count="15">
    <tableColumn id="1" xr3:uid="{C5F8041A-0A07-4775-90B5-4A52B2BF1EE9}" name="#" dataDxfId="595" totalsRowDxfId="594"/>
    <tableColumn id="2" xr3:uid="{6419F387-F748-43F3-AA7E-D4D742D2DF41}" name="#_x000a_LW" dataDxfId="593" totalsRowDxfId="592"/>
    <tableColumn id="3" xr3:uid="{82C181B4-8AA2-49AC-A909-E3598557B109}" name="Filmas _x000a_(Movie)" totalsRowLabel="Total (38)" dataDxfId="591" totalsRowDxfId="590"/>
    <tableColumn id="4" xr3:uid="{5C0DC758-1CE7-48B0-A569-CC8F75F70CE3}" name="Pajamos _x000a_(GBO)" totalsRowFunction="sum" dataDxfId="589" totalsRowDxfId="588"/>
    <tableColumn id="5" xr3:uid="{D8F33041-87A4-4DA2-9D9F-9A93B57CF96F}" name="Pajamos _x000a_praeita sav._x000a_(GBO LW)" totalsRowLabel="578 176 €" dataDxfId="587" totalsRowDxfId="586"/>
    <tableColumn id="6" xr3:uid="{F872FD3D-3FC4-467F-BA66-FE4319BF50F2}" name="Pakitimas_x000a_(Change)" totalsRowFunction="custom" dataDxfId="585" totalsRowDxfId="584">
      <totalsRowFormula>(D41-E41)/E41</totalsRowFormula>
    </tableColumn>
    <tableColumn id="7" xr3:uid="{D79577EF-7C2A-4119-AF5E-A99198830FF4}" name="Žiūrovų sk. _x000a_(ADM)" totalsRowFunction="sum" dataDxfId="583" totalsRowDxfId="582"/>
    <tableColumn id="8" xr3:uid="{DD1E5347-58C1-4798-960D-B53365165F8B}" name="Seansų sk. _x000a_(Show count)" dataDxfId="581" totalsRowDxfId="580"/>
    <tableColumn id="9" xr3:uid="{124EAFDD-08A8-4A5F-90F9-E332390BDD48}" name="Lankomumo vid._x000a_(Average ADM)" dataDxfId="579" totalsRowDxfId="578">
      <calculatedColumnFormula>G3/H3</calculatedColumnFormula>
    </tableColumn>
    <tableColumn id="10" xr3:uid="{8AF603D8-B0E8-43EF-BCA0-3253AFBE0F63}" name="Kopijų sk. _x000a_(DCO count)" dataDxfId="577" totalsRowDxfId="576"/>
    <tableColumn id="11" xr3:uid="{C3DE5CA9-D21D-4EF8-9016-1AEA0FBCD808}" name="Rodymo savaitė_x000a_(Week on screen)" dataDxfId="575" totalsRowDxfId="574"/>
    <tableColumn id="12" xr3:uid="{B5695B09-C280-4538-B575-0C90BFCA931D}" name="Bendros pajamos _x000a_(Total GBO)" dataDxfId="573" totalsRowDxfId="572"/>
    <tableColumn id="13" xr3:uid="{18B36EC0-8B72-4DB9-B2A6-9D0D4391D407}" name="Bendras žiūrovų sk._x000a_(Total ADM)" dataDxfId="571" totalsRowDxfId="570"/>
    <tableColumn id="14" xr3:uid="{9D1BF181-E124-4A86-8F3E-EDD9A5ABE3F6}" name="Premjeros data _x000a_(Release date)" dataDxfId="569" totalsRowDxfId="568"/>
    <tableColumn id="15" xr3:uid="{ED6ED986-B91F-4FF2-AA09-F6B18D7BD826}" name="Platintojas _x000a_(Distributor)" dataDxfId="567" totalsRowDxfId="566"/>
  </tableColumns>
  <tableStyleInfo name="TableStyleLight1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B059D566-FC94-48A4-B897-FD20A72AD80C}" name="Table132458791011121314151617" displayName="Table132458791011121314151617" ref="A2:O35" totalsRowCount="1" headerRowDxfId="565" dataDxfId="563" headerRowBorderDxfId="564">
  <sortState xmlns:xlrd2="http://schemas.microsoft.com/office/spreadsheetml/2017/richdata2" ref="A3:O34">
    <sortCondition descending="1" ref="D3:D34"/>
  </sortState>
  <tableColumns count="15">
    <tableColumn id="1" xr3:uid="{13F4FDD8-B4EC-453B-8BB4-CFE0476F3CE0}" name="#" dataDxfId="562" totalsRowDxfId="561"/>
    <tableColumn id="2" xr3:uid="{AFFD35D0-29FF-4256-BE04-468AFE9852F5}" name="#_x000a_LW" dataDxfId="560" totalsRowDxfId="559"/>
    <tableColumn id="3" xr3:uid="{9D58583B-9575-4138-AD47-51D73963CB28}" name="Filmas _x000a_(Movie)" totalsRowLabel="Total (32)" dataDxfId="558" totalsRowDxfId="557"/>
    <tableColumn id="4" xr3:uid="{1EE42C57-1459-49E3-BA99-A19F3CF35756}" name="Pajamos _x000a_(GBO)" totalsRowFunction="sum" dataDxfId="556" totalsRowDxfId="555"/>
    <tableColumn id="5" xr3:uid="{A1188C60-D914-4106-AE64-E6C39BA85624}" name="Pajamos _x000a_praeita sav._x000a_(GBO LW)" totalsRowLabel="726 010 €" dataDxfId="554" totalsRowDxfId="553"/>
    <tableColumn id="6" xr3:uid="{0FC5C0FA-BCEC-4280-ACC5-99D2F583BB88}" name="Pakitimas_x000a_(Change)" totalsRowFunction="custom" dataDxfId="552" totalsRowDxfId="551">
      <totalsRowFormula>(D35-E35)/E35</totalsRowFormula>
    </tableColumn>
    <tableColumn id="7" xr3:uid="{9C318DCF-ED10-4E08-8B70-A4A4138A6B34}" name="Žiūrovų sk. _x000a_(ADM)" totalsRowFunction="sum" dataDxfId="550" totalsRowDxfId="549"/>
    <tableColumn id="8" xr3:uid="{9C534B72-8137-4DDC-BADC-2B77F7EC46C1}" name="Seansų sk. _x000a_(Show count)" dataDxfId="548" totalsRowDxfId="547"/>
    <tableColumn id="9" xr3:uid="{099995A4-C4A6-4A86-92D1-847E73613124}" name="Lankomumo vid._x000a_(Average ADM)" dataDxfId="546" totalsRowDxfId="545">
      <calculatedColumnFormula>G3/H3</calculatedColumnFormula>
    </tableColumn>
    <tableColumn id="10" xr3:uid="{A72FCAEA-FF08-44CB-A065-5D6F679C77FA}" name="Kopijų sk. _x000a_(DCO count)" dataDxfId="544" totalsRowDxfId="543"/>
    <tableColumn id="11" xr3:uid="{C7D7535E-F444-4CE0-B7F0-3A6D47CFCD25}" name="Rodymo savaitė_x000a_(Week on screen)" dataDxfId="542" totalsRowDxfId="541"/>
    <tableColumn id="12" xr3:uid="{53DB59CA-9282-4FF5-A769-1CF2C91F1548}" name="Bendros pajamos _x000a_(Total GBO)" dataDxfId="540" totalsRowDxfId="539"/>
    <tableColumn id="13" xr3:uid="{F26A658D-F2EC-4A7D-AD86-95E665444D3C}" name="Bendras žiūrovų sk._x000a_(Total ADM)" dataDxfId="538" totalsRowDxfId="537"/>
    <tableColumn id="14" xr3:uid="{F841271E-67E6-4DE8-AC42-21D747FE2C4C}" name="Premjeros data _x000a_(Release date)" dataDxfId="536" totalsRowDxfId="535"/>
    <tableColumn id="15" xr3:uid="{567DE29A-73AD-4C1B-803B-7864415DF342}" name="Platintojas _x000a_(Distributor)" dataDxfId="534" totalsRowDxfId="533"/>
  </tableColumns>
  <tableStyleInfo name="TableStyleLight1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6FFBF794-5654-4E95-97A9-50E967D42697}" name="Table1324587910111213141516" displayName="Table1324587910111213141516" ref="A2:O31" totalsRowCount="1" headerRowDxfId="532" dataDxfId="530" headerRowBorderDxfId="531">
  <sortState xmlns:xlrd2="http://schemas.microsoft.com/office/spreadsheetml/2017/richdata2" ref="A3:O30">
    <sortCondition descending="1" ref="D3:D30"/>
  </sortState>
  <tableColumns count="15">
    <tableColumn id="1" xr3:uid="{6C655041-A6A3-4ED8-B640-6F78EAECC458}" name="#" dataDxfId="529" totalsRowDxfId="528"/>
    <tableColumn id="2" xr3:uid="{9006ECCC-EE1E-4675-AD50-4C93A375738E}" name="#_x000a_LW" dataDxfId="527" totalsRowDxfId="526"/>
    <tableColumn id="3" xr3:uid="{1A67AEC1-0158-41A2-8A43-A48C3881C8BD}" name="Filmas _x000a_(Movie)" totalsRowLabel="Total (28)" dataDxfId="525" totalsRowDxfId="524"/>
    <tableColumn id="4" xr3:uid="{B69CF33F-3B7F-40E6-9927-5E3EA7C9D895}" name="Pajamos _x000a_(GBO)" totalsRowFunction="sum" dataDxfId="523" totalsRowDxfId="522"/>
    <tableColumn id="5" xr3:uid="{61C0C358-6F6B-43A0-9EF3-3D2806208BF3}" name="Pajamos _x000a_praeita sav._x000a_(GBO LW)" totalsRowLabel="953 915 €" dataDxfId="521" totalsRowDxfId="520"/>
    <tableColumn id="6" xr3:uid="{BA7FE935-97FC-4E05-A840-F53A5A70F9C2}" name="Pakitimas_x000a_(Change)" totalsRowFunction="custom" dataDxfId="519" totalsRowDxfId="518">
      <totalsRowFormula>(D31-E31)/E31</totalsRowFormula>
    </tableColumn>
    <tableColumn id="7" xr3:uid="{95DBBA20-748D-4474-9667-76A497C0026B}" name="Žiūrovų sk. _x000a_(ADM)" totalsRowFunction="sum" dataDxfId="517" totalsRowDxfId="516"/>
    <tableColumn id="8" xr3:uid="{B7F27E8D-046D-4285-9872-15C5BC0A66E0}" name="Seansų sk. _x000a_(Show count)" dataDxfId="515" totalsRowDxfId="514"/>
    <tableColumn id="9" xr3:uid="{6752A917-91C1-45BF-94CD-16F861C2549C}" name="Lankomumo vid._x000a_(Average ADM)" dataDxfId="513" totalsRowDxfId="512">
      <calculatedColumnFormula>G3/H3</calculatedColumnFormula>
    </tableColumn>
    <tableColumn id="10" xr3:uid="{33C2990E-E942-4E81-A3D9-1F2DEDA6E5DE}" name="Kopijų sk. _x000a_(DCO count)" dataDxfId="511" totalsRowDxfId="510"/>
    <tableColumn id="11" xr3:uid="{9C99C949-8CAA-454B-B96F-3F9D954C26D9}" name="Rodymo savaitė_x000a_(Week on screen)" dataDxfId="509" totalsRowDxfId="508"/>
    <tableColumn id="12" xr3:uid="{C6DF2A29-CFCF-4F25-8C63-7FDE72AA4758}" name="Bendros pajamos _x000a_(Total GBO)" dataDxfId="507" totalsRowDxfId="506"/>
    <tableColumn id="13" xr3:uid="{F713D0C4-C586-4C7C-89DA-B199FECB5E50}" name="Bendras žiūrovų sk._x000a_(Total ADM)" dataDxfId="505" totalsRowDxfId="504"/>
    <tableColumn id="14" xr3:uid="{18D5A98D-1A72-4964-98E2-D651A211DFF9}" name="Premjeros data _x000a_(Release date)" dataDxfId="503" totalsRowDxfId="502"/>
    <tableColumn id="15" xr3:uid="{E312814B-313D-4284-9266-0730BF408936}" name="Platintojas _x000a_(Distributor)" dataDxfId="501" totalsRowDxfId="500"/>
  </tableColumns>
  <tableStyleInfo name="TableStyleLight1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1683CB21-2303-4E12-859E-223A54450575}" name="Table13245879101112131415" displayName="Table13245879101112131415" ref="A2:O43" totalsRowCount="1" headerRowDxfId="499" dataDxfId="497" headerRowBorderDxfId="498">
  <sortState xmlns:xlrd2="http://schemas.microsoft.com/office/spreadsheetml/2017/richdata2" ref="A3:O42">
    <sortCondition descending="1" ref="D3:D42"/>
  </sortState>
  <tableColumns count="15">
    <tableColumn id="1" xr3:uid="{CF901B39-F9DB-4CD4-B0BC-4433E944048B}" name="#" dataDxfId="496" totalsRowDxfId="495"/>
    <tableColumn id="2" xr3:uid="{3FD78909-B575-4460-B19B-9ECE0559755D}" name="#_x000a_LW" dataDxfId="494" totalsRowDxfId="493"/>
    <tableColumn id="3" xr3:uid="{60E37ACA-AFB2-4F02-80E4-B07C1625558D}" name="Filmas _x000a_(Movie)" totalsRowLabel="Total (40)" dataDxfId="492" totalsRowDxfId="491"/>
    <tableColumn id="4" xr3:uid="{BEAF5EAF-9AEF-4266-B930-1DAD7D0CF3A9}" name="Pajamos _x000a_(GBO)" totalsRowFunction="sum" dataDxfId="490" totalsRowDxfId="489"/>
    <tableColumn id="5" xr3:uid="{63844A5A-5217-45F4-BC7B-CB73534AA830}" name="Pajamos _x000a_praeita sav._x000a_(GBO LW)" totalsRowLabel="332 080 €" dataDxfId="488" totalsRowDxfId="487"/>
    <tableColumn id="6" xr3:uid="{1207E71D-8C8B-473F-842D-1B75E76AF7DE}" name="Pakitimas_x000a_(Change)" totalsRowFunction="custom" dataDxfId="486" totalsRowDxfId="485">
      <totalsRowFormula>(D43-E43)/E43</totalsRowFormula>
    </tableColumn>
    <tableColumn id="7" xr3:uid="{D25FED8B-5371-4349-B254-F4EF58010AB7}" name="Žiūrovų sk. _x000a_(ADM)" totalsRowFunction="sum" dataDxfId="484" totalsRowDxfId="483"/>
    <tableColumn id="8" xr3:uid="{5CA9BFAF-0DD3-4F3E-8B1A-72AC18391261}" name="Seansų sk. _x000a_(Show count)" dataDxfId="482" totalsRowDxfId="481"/>
    <tableColumn id="9" xr3:uid="{5D5B1E3D-5C0A-4D0B-84A9-183A49FA7A6B}" name="Lankomumo vid._x000a_(Average ADM)" dataDxfId="480" totalsRowDxfId="479">
      <calculatedColumnFormula>G3/H3</calculatedColumnFormula>
    </tableColumn>
    <tableColumn id="10" xr3:uid="{FBFC5D00-52DD-4041-8D15-584A1E0F312F}" name="Kopijų sk. _x000a_(DCO count)" dataDxfId="478" totalsRowDxfId="477"/>
    <tableColumn id="11" xr3:uid="{2E0A93C1-3241-4134-AB92-DFE0482F1C71}" name="Rodymo savaitė_x000a_(Week on screen)" dataDxfId="476" totalsRowDxfId="475"/>
    <tableColumn id="12" xr3:uid="{AF26F629-18EA-4750-9B4A-656EE0CE45E4}" name="Bendros pajamos _x000a_(Total GBO)" dataDxfId="474" totalsRowDxfId="473"/>
    <tableColumn id="13" xr3:uid="{02601F90-71E4-447E-95D2-1E3B5C227D99}" name="Bendras žiūrovų sk._x000a_(Total ADM)" dataDxfId="472" totalsRowDxfId="471"/>
    <tableColumn id="14" xr3:uid="{7268E1E1-7634-44F2-961B-CFA6642F5655}" name="Premjeros data _x000a_(Release date)" dataDxfId="470" totalsRowDxfId="469"/>
    <tableColumn id="15" xr3:uid="{49834540-6980-484C-BE0E-546D1CB2CBE4}" name="Platintojas _x000a_(Distributor)" dataDxfId="468" totalsRowDxfId="467"/>
  </tableColumns>
  <tableStyleInfo name="TableStyleLight1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65F60760-2BF9-46FB-8B5D-F3BD2860708B}" name="Table132458791011121314" displayName="Table132458791011121314" ref="A2:O39" totalsRowCount="1" headerRowDxfId="466" dataDxfId="464" headerRowBorderDxfId="465">
  <sortState xmlns:xlrd2="http://schemas.microsoft.com/office/spreadsheetml/2017/richdata2" ref="A3:O38">
    <sortCondition descending="1" ref="D3:D38"/>
  </sortState>
  <tableColumns count="15">
    <tableColumn id="1" xr3:uid="{CFD8E48D-D8E1-48DF-8830-11C4C6FCFFF3}" name="#" dataDxfId="463" totalsRowDxfId="462"/>
    <tableColumn id="2" xr3:uid="{338A2A3B-256C-4F66-9B3A-8318AAD7D841}" name="#_x000a_LW" dataDxfId="461" totalsRowDxfId="460"/>
    <tableColumn id="3" xr3:uid="{232BEF19-1007-47A3-9A2A-918D03E45FF3}" name="Filmas _x000a_(Movie)" totalsRowLabel="Total (36)" dataDxfId="459" totalsRowDxfId="458"/>
    <tableColumn id="4" xr3:uid="{76AFD1A5-26E4-4427-8715-9520124BF44E}" name="Pajamos _x000a_(GBO)" totalsRowFunction="sum" dataDxfId="457" totalsRowDxfId="456"/>
    <tableColumn id="5" xr3:uid="{69483A22-0DDA-4EDE-BD8A-F55A751E7B4B}" name="Pajamos _x000a_praeita sav._x000a_(GBO LW)" totalsRowLabel="259 721 €" dataDxfId="455" totalsRowDxfId="454"/>
    <tableColumn id="6" xr3:uid="{0B455A4B-DB0F-4EC3-8A97-7D53C15017EE}" name="Pakitimas_x000a_(Change)" totalsRowFunction="custom" dataDxfId="453" totalsRowDxfId="452">
      <totalsRowFormula>(D39-E39)/E39</totalsRowFormula>
    </tableColumn>
    <tableColumn id="7" xr3:uid="{8050E4C3-A3C9-4703-91DF-54C6358277C0}" name="Žiūrovų sk. _x000a_(ADM)" totalsRowFunction="sum" dataDxfId="451" totalsRowDxfId="450"/>
    <tableColumn id="8" xr3:uid="{F3BED3A3-B00F-4C03-A7D5-7BD79C0B4D7F}" name="Seansų sk. _x000a_(Show count)" dataDxfId="449" totalsRowDxfId="448"/>
    <tableColumn id="9" xr3:uid="{4C5CB02A-C84B-46EA-9E94-73B9DC893EB8}" name="Lankomumo vid._x000a_(Average ADM)" dataDxfId="447" totalsRowDxfId="446">
      <calculatedColumnFormula>G3/H3</calculatedColumnFormula>
    </tableColumn>
    <tableColumn id="10" xr3:uid="{4849E569-CD3E-414B-826B-F3201508AEC3}" name="Kopijų sk. _x000a_(DCO count)" dataDxfId="445" totalsRowDxfId="444"/>
    <tableColumn id="11" xr3:uid="{F3A9BF1D-CD9C-4000-AA83-7FC83D84A2C7}" name="Rodymo savaitė_x000a_(Week on screen)" dataDxfId="443" totalsRowDxfId="442"/>
    <tableColumn id="12" xr3:uid="{832CADCF-210E-4688-9F85-1BAA82637171}" name="Bendros pajamos _x000a_(Total GBO)" dataDxfId="441" totalsRowDxfId="440"/>
    <tableColumn id="13" xr3:uid="{D686DB7F-CB2A-4344-AA10-F33157D8BE1A}" name="Bendras žiūrovų sk._x000a_(Total ADM)" dataDxfId="439" totalsRowDxfId="438"/>
    <tableColumn id="14" xr3:uid="{AC0EE997-5582-417B-9B20-460CCA57E5EA}" name="Premjeros data _x000a_(Release date)" dataDxfId="437" totalsRowDxfId="436"/>
    <tableColumn id="15" xr3:uid="{F942FB58-7689-4550-980E-9921AB72ED8A}" name="Platintojas _x000a_(Distributor)" dataDxfId="435" totalsRowDxfId="434"/>
  </tableColumns>
  <tableStyleInfo name="TableStyleLight1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EEA3FA6B-1288-4FC1-BC40-87769CC6EB43}" name="Table1324587910111213" displayName="Table1324587910111213" ref="A2:O38" totalsRowCount="1" headerRowDxfId="433" dataDxfId="431" headerRowBorderDxfId="432">
  <sortState xmlns:xlrd2="http://schemas.microsoft.com/office/spreadsheetml/2017/richdata2" ref="A3:O37">
    <sortCondition descending="1" ref="D3:D37"/>
  </sortState>
  <tableColumns count="15">
    <tableColumn id="1" xr3:uid="{8F10A169-64BD-4398-B2BA-3B43A1F27307}" name="#" dataDxfId="430" totalsRowDxfId="429"/>
    <tableColumn id="2" xr3:uid="{D4AC765D-7553-4B97-AA2C-3D59C402A40E}" name="#_x000a_LW" dataDxfId="428" totalsRowDxfId="427"/>
    <tableColumn id="3" xr3:uid="{1FD059DD-556D-490C-91B7-DA24CEBDE3F3}" name="Filmas _x000a_(Movie)" totalsRowLabel="Total (35)" dataDxfId="426" totalsRowDxfId="425"/>
    <tableColumn id="4" xr3:uid="{C381B741-21FD-425D-9CC7-FF8F5C4C13A1}" name="Pajamos _x000a_(GBO)" totalsRowFunction="sum" dataDxfId="424" totalsRowDxfId="423"/>
    <tableColumn id="5" xr3:uid="{2F30C01D-CAE8-473F-8095-6C70CE2E9D7F}" name="Pajamos _x000a_praeita sav._x000a_(GBO LW)" totalsRowLabel="328 858 €" dataDxfId="422" totalsRowDxfId="421"/>
    <tableColumn id="6" xr3:uid="{BC134749-8F4D-4500-AEAF-A8B9277C6A50}" name="Pakitimas_x000a_(Change)" totalsRowFunction="custom" dataDxfId="420" totalsRowDxfId="419">
      <calculatedColumnFormula>(D3-E3)/E3</calculatedColumnFormula>
      <totalsRowFormula>(D38-E38)/E38</totalsRowFormula>
    </tableColumn>
    <tableColumn id="7" xr3:uid="{17337788-1EB5-4603-A7AB-1552A0B865B2}" name="Žiūrovų sk. _x000a_(ADM)" totalsRowFunction="sum" dataDxfId="418" totalsRowDxfId="417"/>
    <tableColumn id="8" xr3:uid="{E8BC69C4-AC59-47D9-82B1-AE37CDF4DA5C}" name="Seansų sk. _x000a_(Show count)" dataDxfId="416" totalsRowDxfId="415"/>
    <tableColumn id="9" xr3:uid="{3D616B8B-1265-4953-90AE-A1B7C7D04E60}" name="Lankomumo vid._x000a_(Average ADM)" dataDxfId="414" totalsRowDxfId="413">
      <calculatedColumnFormula>G3/H3</calculatedColumnFormula>
    </tableColumn>
    <tableColumn id="10" xr3:uid="{1D732961-8239-4A3A-85EA-348B5415679B}" name="Kopijų sk. _x000a_(DCO count)" dataDxfId="412" totalsRowDxfId="411"/>
    <tableColumn id="11" xr3:uid="{CDFA5410-4770-4FE0-981C-293EDB34B2EB}" name="Rodymo savaitė_x000a_(Week on screen)" dataDxfId="410" totalsRowDxfId="409"/>
    <tableColumn id="12" xr3:uid="{00A77E58-2BE5-4786-A88B-845465A2E244}" name="Bendros pajamos _x000a_(Total GBO)" dataDxfId="408" totalsRowDxfId="407"/>
    <tableColumn id="13" xr3:uid="{78F52844-FB04-4B80-974E-2B73F1D3C7A2}" name="Bendras žiūrovų sk._x000a_(Total ADM)" dataDxfId="406" totalsRowDxfId="405"/>
    <tableColumn id="14" xr3:uid="{7F23D199-E6AC-465D-BA53-859C76868B51}" name="Premjeros data _x000a_(Release date)" dataDxfId="404" totalsRowDxfId="403"/>
    <tableColumn id="15" xr3:uid="{50C4E224-2093-45A7-81F7-59064BD32C81}" name="Platintojas _x000a_(Distributor)" dataDxfId="402" totalsRowDxfId="401"/>
  </tableColumns>
  <tableStyleInfo name="TableStyleLight1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4442CCF-C848-4611-B824-FAB0F6BDB426}" name="Table13245879101112" displayName="Table13245879101112" ref="A2:O43" totalsRowCount="1" headerRowDxfId="400" dataDxfId="398" headerRowBorderDxfId="399">
  <sortState xmlns:xlrd2="http://schemas.microsoft.com/office/spreadsheetml/2017/richdata2" ref="A3:O42">
    <sortCondition descending="1" ref="D3:D42"/>
  </sortState>
  <tableColumns count="15">
    <tableColumn id="1" xr3:uid="{7D48320A-1248-463F-9665-B1824C098388}" name="#" dataDxfId="397" totalsRowDxfId="396"/>
    <tableColumn id="2" xr3:uid="{9C932AA9-2C54-4D59-8BB3-3FA84BCC2919}" name="#_x000a_LW" totalsRowLabel=" " dataDxfId="395" totalsRowDxfId="394"/>
    <tableColumn id="3" xr3:uid="{9BD17F8E-27A8-4E81-AB35-3A1E670F4B87}" name="Filmas _x000a_(Movie)" totalsRowLabel="Total (40)" dataDxfId="393" totalsRowDxfId="392"/>
    <tableColumn id="4" xr3:uid="{F9E971EE-6E44-4816-AE4E-15520C20DF78}" name="Pajamos _x000a_(GBO)" totalsRowFunction="sum" dataDxfId="391" totalsRowDxfId="390"/>
    <tableColumn id="5" xr3:uid="{6DE982DA-2F94-48EC-8DDC-5609913AF329}" name="Pajamos _x000a_praeita sav._x000a_(GBO LW)" totalsRowLabel="238 949 €" dataDxfId="389" totalsRowDxfId="388"/>
    <tableColumn id="6" xr3:uid="{00B90DA5-37D6-447A-82F2-BD3FABF25C8E}" name="Pakitimas_x000a_(Change)" totalsRowFunction="custom" dataDxfId="387" totalsRowDxfId="386">
      <calculatedColumnFormula>(D3-E3)/E3</calculatedColumnFormula>
      <totalsRowFormula>(D43-E43)/E43</totalsRowFormula>
    </tableColumn>
    <tableColumn id="7" xr3:uid="{ED2981B3-A96F-487B-81F3-15A0092792B5}" name="Žiūrovų sk. _x000a_(ADM)" totalsRowFunction="sum" dataDxfId="385" totalsRowDxfId="384"/>
    <tableColumn id="8" xr3:uid="{4E5A102C-1966-4D2C-8EB7-2E1BDABB6DB8}" name="Seansų sk. _x000a_(Show count)" dataDxfId="383" totalsRowDxfId="382"/>
    <tableColumn id="9" xr3:uid="{CFFA5C6B-DAA9-4139-8133-B1EB7F84A808}" name="Lankomumo vid._x000a_(Average ADM)" dataDxfId="381" totalsRowDxfId="380">
      <calculatedColumnFormula>G3/H3</calculatedColumnFormula>
    </tableColumn>
    <tableColumn id="10" xr3:uid="{D5781980-6E69-40F6-B579-6FAFB597EB44}" name="Kopijų sk. _x000a_(DCO count)" dataDxfId="379" totalsRowDxfId="378"/>
    <tableColumn id="11" xr3:uid="{7233D98F-3717-4469-B15B-1B83A4C25474}" name="Rodymo savaitė_x000a_(Week on screen)" dataDxfId="377" totalsRowDxfId="376"/>
    <tableColumn id="12" xr3:uid="{FD998D83-A86E-4CD4-9C78-676B91AEDC91}" name="Bendros pajamos _x000a_(Total GBO)" dataDxfId="375" totalsRowDxfId="374"/>
    <tableColumn id="13" xr3:uid="{5267D79C-1309-4B1B-A82C-BF571E33617A}" name="Bendras žiūrovų sk._x000a_(Total ADM)" dataDxfId="373" totalsRowDxfId="372"/>
    <tableColumn id="14" xr3:uid="{D24350FD-7DAE-4E90-9636-157A6D4D9603}" name="Premjeros data _x000a_(Release date)" dataDxfId="371" totalsRowDxfId="370"/>
    <tableColumn id="15" xr3:uid="{A813FA56-FDF3-4032-91BF-F5E05FF6DF19}" name="Platintojas _x000a_(Distributor)" dataDxfId="369" totalsRowDxfId="368"/>
  </tableColumns>
  <tableStyleInfo name="TableStyleLight1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69C33DFB-4150-42FA-9E75-9B387D6C9D8C}" name="Table132458791011" displayName="Table132458791011" ref="A2:O48" totalsRowCount="1" headerRowDxfId="367" dataDxfId="365" headerRowBorderDxfId="366">
  <sortState xmlns:xlrd2="http://schemas.microsoft.com/office/spreadsheetml/2017/richdata2" ref="A3:O47">
    <sortCondition descending="1" ref="D3:D47"/>
  </sortState>
  <tableColumns count="15">
    <tableColumn id="1" xr3:uid="{53606D0F-4956-4621-A99C-DD53C026FFCD}" name="#" dataDxfId="364" totalsRowDxfId="363"/>
    <tableColumn id="2" xr3:uid="{0CF1C666-E7F8-4239-93AE-CD5B5C665266}" name="#_x000a_LW" totalsRowLabel=" " dataDxfId="362" totalsRowDxfId="361"/>
    <tableColumn id="3" xr3:uid="{21AF410C-67FA-4373-BB43-20A17DD04B64}" name="Filmas _x000a_(Movie)" totalsRowLabel="Total (45)" dataDxfId="360" totalsRowDxfId="359"/>
    <tableColumn id="4" xr3:uid="{83596072-50AD-4E76-BAB4-63158E58854F}" name="Pajamos _x000a_(GBO)" totalsRowFunction="sum" dataDxfId="358" totalsRowDxfId="357"/>
    <tableColumn id="5" xr3:uid="{E58EC99D-5586-4F0B-A4AF-3E53925D6531}" name="Pajamos _x000a_praeita sav._x000a_(GBO LW)" totalsRowLabel="365 647 €" dataDxfId="356" totalsRowDxfId="355"/>
    <tableColumn id="6" xr3:uid="{FA56911D-875D-4F06-BD4A-E14B555D6A5E}" name="Pakitimas_x000a_(Change)" totalsRowFunction="custom" dataDxfId="354" totalsRowDxfId="353">
      <calculatedColumnFormula>(D3-E3)/E3</calculatedColumnFormula>
      <totalsRowFormula>(D48-E48)/E48</totalsRowFormula>
    </tableColumn>
    <tableColumn id="7" xr3:uid="{0328A5A8-AC37-4B46-9853-7247A6ED2CB2}" name="Žiūrovų sk. _x000a_(ADM)" totalsRowFunction="sum" dataDxfId="352" totalsRowDxfId="351"/>
    <tableColumn id="8" xr3:uid="{74424259-0FBF-4C06-ACB6-CC7CE923A6B7}" name="Seansų sk. _x000a_(Show count)" dataDxfId="350" totalsRowDxfId="349"/>
    <tableColumn id="9" xr3:uid="{56B7A6ED-B474-4BDA-A9A5-745D6B7BFF4D}" name="Lankomumo vid._x000a_(Average ADM)" dataDxfId="348" totalsRowDxfId="347">
      <calculatedColumnFormula>G3/H3</calculatedColumnFormula>
    </tableColumn>
    <tableColumn id="10" xr3:uid="{D828A7CE-ABB5-4286-85A8-DABD2817456B}" name="Kopijų sk. _x000a_(DCO count)" dataDxfId="346" totalsRowDxfId="345"/>
    <tableColumn id="11" xr3:uid="{35D53496-3743-4FDD-A0FE-F470917C45BD}" name="Rodymo savaitė_x000a_(Week on screen)" dataDxfId="344" totalsRowDxfId="343"/>
    <tableColumn id="12" xr3:uid="{DA6C12D9-5DE0-42A8-959A-B74FA26FE9E3}" name="Bendros pajamos _x000a_(Total GBO)" dataDxfId="342" totalsRowDxfId="341"/>
    <tableColumn id="13" xr3:uid="{EE36DF8C-C357-4E73-9725-746EEC6C9977}" name="Bendras žiūrovų sk._x000a_(Total ADM)" dataDxfId="340" totalsRowDxfId="339"/>
    <tableColumn id="14" xr3:uid="{463F1ED7-5AB5-4D63-97D4-9F48148E75A0}" name="Premjeros data _x000a_(Release date)" dataDxfId="338" totalsRowDxfId="337"/>
    <tableColumn id="15" xr3:uid="{338D60A5-9D7A-4A71-A965-BB2DFEF7A3A7}" name="Platintojas _x000a_(Distributor)" dataDxfId="336" totalsRowDxfId="335"/>
  </tableColumns>
  <tableStyleInfo name="TableStyleLight1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6EC0297B-AF64-4586-912A-03A4904347C1}" name="Table1324587910" displayName="Table1324587910" ref="A2:O51" totalsRowCount="1" headerRowDxfId="334" dataDxfId="332" headerRowBorderDxfId="333">
  <sortState xmlns:xlrd2="http://schemas.microsoft.com/office/spreadsheetml/2017/richdata2" ref="A3:O50">
    <sortCondition descending="1" ref="D3:D50"/>
  </sortState>
  <tableColumns count="15">
    <tableColumn id="1" xr3:uid="{ED5EFEEB-E237-444E-A261-E6BC1D9DBEF9}" name="#" totalsRowLabel=" " dataDxfId="331" totalsRowDxfId="330"/>
    <tableColumn id="2" xr3:uid="{8EB4444F-E282-4CAA-B335-076699874CDD}" name="#_x000a_LW" totalsRowLabel=" " dataDxfId="329" totalsRowDxfId="328"/>
    <tableColumn id="3" xr3:uid="{4D444D57-95F0-4718-8CB1-2D79E68CC0FB}" name="Filmas _x000a_(Movie)" totalsRowLabel="Total (48)" dataDxfId="327" totalsRowDxfId="326"/>
    <tableColumn id="4" xr3:uid="{070F06D3-0235-4668-B395-CCBF228FD25E}" name="Pajamos _x000a_(GBO)" totalsRowFunction="sum" dataDxfId="325" totalsRowDxfId="324"/>
    <tableColumn id="5" xr3:uid="{5BEDF0D9-B410-4A56-B411-75D335AA68C5}" name="Pajamos _x000a_praeita sav._x000a_(GBO LW)" totalsRowLabel="268 471 €" dataDxfId="323" totalsRowDxfId="322"/>
    <tableColumn id="6" xr3:uid="{EBEF55F0-FF7A-4CF8-98A8-1654A692D442}" name="Pakitimas_x000a_(Change)" totalsRowFunction="custom" dataDxfId="321" totalsRowDxfId="320">
      <calculatedColumnFormula>(D3-E3)/E3</calculatedColumnFormula>
      <totalsRowFormula>(D51-E51)/E51</totalsRowFormula>
    </tableColumn>
    <tableColumn id="7" xr3:uid="{069EACD0-02B5-49B2-9FB9-E1DD72965384}" name="Žiūrovų sk. _x000a_(ADM)" totalsRowFunction="sum" dataDxfId="319" totalsRowDxfId="318"/>
    <tableColumn id="8" xr3:uid="{477AFA18-AF1E-415F-A6CA-C613A782BC5D}" name="Seansų sk. _x000a_(Show count)" dataDxfId="317" totalsRowDxfId="316"/>
    <tableColumn id="9" xr3:uid="{1839A3EF-E6FA-4DB7-906F-7E37BF91C2C8}" name="Lankomumo vid._x000a_(Average ADM)" dataDxfId="315" totalsRowDxfId="314">
      <calculatedColumnFormula>G3/H3</calculatedColumnFormula>
    </tableColumn>
    <tableColumn id="10" xr3:uid="{8609884F-A4D2-40AD-9991-D42861C1CA89}" name="Kopijų sk. _x000a_(DCO count)" dataDxfId="313" totalsRowDxfId="312"/>
    <tableColumn id="11" xr3:uid="{824DB4EA-B34A-438E-BCBC-A8F3B1074104}" name="Rodymo savaitė_x000a_(Week on screen)" dataDxfId="311" totalsRowDxfId="310"/>
    <tableColumn id="12" xr3:uid="{6E39CE50-6A9A-46B5-BB9E-A60F6E16AAB4}" name="Bendros pajamos _x000a_(Total GBO)" dataDxfId="309" totalsRowDxfId="308"/>
    <tableColumn id="13" xr3:uid="{40A8318F-9E5E-4F9A-8327-0B7F2E0C3BBD}" name="Bendras žiūrovų sk._x000a_(Total ADM)" dataDxfId="307" totalsRowDxfId="306"/>
    <tableColumn id="14" xr3:uid="{F2BD2F88-2DE2-4F17-8211-35E48CAC3FD8}" name="Premjeros data _x000a_(Release date)" dataDxfId="305" totalsRowDxfId="304"/>
    <tableColumn id="15" xr3:uid="{E8FC6BDA-9F64-412A-8811-130E529A6DA0}" name="Platintojas _x000a_(Distributor)" dataDxfId="303" totalsRowDxfId="302"/>
  </tableColumns>
  <tableStyleInfo name="TableStyleLight1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3C21F9D5-F88F-4AE0-A2DE-056E30C98A07}" name="Table13245879101112131415161718192021222326242527" displayName="Table13245879101112131415161718192021222326242527" ref="A2:O37" totalsRowCount="1" headerRowDxfId="895" dataDxfId="893" headerRowBorderDxfId="894">
  <sortState xmlns:xlrd2="http://schemas.microsoft.com/office/spreadsheetml/2017/richdata2" ref="A3:O36">
    <sortCondition descending="1" ref="D3:D36"/>
  </sortState>
  <tableColumns count="15">
    <tableColumn id="1" xr3:uid="{431667E4-E380-4837-B201-CACF6BF69F1C}" name="#" dataDxfId="892" totalsRowDxfId="891"/>
    <tableColumn id="2" xr3:uid="{8B8C2E59-74F2-4BA7-BA65-C244F32F7892}" name="#_x000a_LW" dataDxfId="890" totalsRowDxfId="889"/>
    <tableColumn id="3" xr3:uid="{BF2BEE1E-FED8-47D7-95DE-0379E66CCBEE}" name="Filmas _x000a_(Movie)" totalsRowLabel="Total (34)" dataDxfId="888" totalsRowDxfId="887"/>
    <tableColumn id="4" xr3:uid="{D5FADE82-6E74-4D31-B0DD-78E9B18D2B58}" name="Pajamos _x000a_(GBO)" totalsRowFunction="sum" dataDxfId="886" totalsRowDxfId="885"/>
    <tableColumn id="5" xr3:uid="{B2E1D6CE-7083-45EE-8A14-9E6ACADEBFC6}" name="Pajamos _x000a_praeita sav._x000a_(GBO LW)" totalsRowLabel="399 268 €" dataDxfId="884" totalsRowDxfId="883"/>
    <tableColumn id="6" xr3:uid="{4DFE571B-B547-43DE-9B89-D777C3C047B1}" name="Pakitimas_x000a_(Change)" totalsRowFunction="custom" dataDxfId="882" totalsRowDxfId="881">
      <totalsRowFormula>(D37-E37)/E37</totalsRowFormula>
    </tableColumn>
    <tableColumn id="7" xr3:uid="{B6EAC56B-BCF2-4F60-83F8-C1B1824B97AF}" name="Žiūrovų sk. _x000a_(ADM)" totalsRowFunction="sum" dataDxfId="880" totalsRowDxfId="879"/>
    <tableColumn id="8" xr3:uid="{B8EC67AE-509E-4C58-99DC-71B445771C36}" name="Seansų sk. _x000a_(Show count)" dataDxfId="878" totalsRowDxfId="877"/>
    <tableColumn id="9" xr3:uid="{ABD5D4D9-D814-4278-8F4D-2CFAE0FE3FC8}" name="Lankomumo vid._x000a_(Average ADM)" dataDxfId="876" totalsRowDxfId="875">
      <calculatedColumnFormula>G3/H3</calculatedColumnFormula>
    </tableColumn>
    <tableColumn id="10" xr3:uid="{41EB6A12-FB35-45CC-8729-27D37F39E5DC}" name="Kopijų sk. _x000a_(DCO count)" dataDxfId="874" totalsRowDxfId="873"/>
    <tableColumn id="11" xr3:uid="{6C1816D8-4D74-4D64-905A-05CF2E7C6E69}" name="Rodymo savaitė_x000a_(Week on screen)" dataDxfId="872" totalsRowDxfId="871"/>
    <tableColumn id="12" xr3:uid="{EB38AABC-8778-4896-9D47-2267D8CF023F}" name="Bendros pajamos _x000a_(Total GBO)" dataDxfId="870" totalsRowDxfId="869"/>
    <tableColumn id="13" xr3:uid="{430E946C-91A6-45E2-93F9-914382A151C6}" name="Bendras žiūrovų sk._x000a_(Total ADM)" dataDxfId="868" totalsRowDxfId="867"/>
    <tableColumn id="14" xr3:uid="{958BC1D7-231E-485F-BF6C-6108D35B867B}" name="Premjeros data _x000a_(Release date)" dataDxfId="866" totalsRowDxfId="865"/>
    <tableColumn id="15" xr3:uid="{57D71B47-156E-4708-B7A2-45DF7FE2A7A0}" name="Platintojas _x000a_(Distributor)" dataDxfId="864" totalsRowDxfId="863"/>
  </tableColumns>
  <tableStyleInfo name="TableStyleLight1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4F11BE61-95AC-487E-9386-D7AE8407DF22}" name="Table13245879" displayName="Table13245879" ref="A2:O51" totalsRowCount="1" headerRowDxfId="301" dataDxfId="299" headerRowBorderDxfId="300">
  <sortState xmlns:xlrd2="http://schemas.microsoft.com/office/spreadsheetml/2017/richdata2" ref="A3:O50">
    <sortCondition descending="1" ref="D3:D50"/>
  </sortState>
  <tableColumns count="15">
    <tableColumn id="1" xr3:uid="{28E20F15-EDA7-4AFE-BFE9-6FFE60937D51}" name="#" totalsRowLabel=" " dataDxfId="298" totalsRowDxfId="297"/>
    <tableColumn id="2" xr3:uid="{28100FE6-6EB7-48BA-AEA1-F6D1C8B9F63C}" name="#_x000a_LW" totalsRowLabel=" " dataDxfId="296" totalsRowDxfId="295"/>
    <tableColumn id="3" xr3:uid="{302E577B-8B96-4086-87C3-EA70185EF9B6}" name="Filmas _x000a_(Movie)" totalsRowLabel="Total (48)" dataDxfId="294" totalsRowDxfId="293"/>
    <tableColumn id="4" xr3:uid="{071D4350-FE89-4AEE-8FCA-D39FC27EFF3F}" name="Pajamos _x000a_(GBO)" totalsRowFunction="sum" dataDxfId="292" totalsRowDxfId="291"/>
    <tableColumn id="5" xr3:uid="{1E794571-E9E8-4C9C-BC80-9F912FE5A82A}" name="Pajamos _x000a_praeita sav._x000a_(GBO LW)" totalsRowLabel="276 525 €" dataDxfId="290" totalsRowDxfId="289"/>
    <tableColumn id="6" xr3:uid="{4A4DDFEC-A2F3-407C-A2AF-3B643F936310}" name="Pakitimas_x000a_(Change)" totalsRowFunction="custom" dataDxfId="288" totalsRowDxfId="287">
      <calculatedColumnFormula>(D3-E3)/E3</calculatedColumnFormula>
      <totalsRowFormula>(D51-E51)/E51</totalsRowFormula>
    </tableColumn>
    <tableColumn id="7" xr3:uid="{151913C5-7505-4B33-B67A-1EBFA2BDB811}" name="Žiūrovų sk. _x000a_(ADM)" totalsRowFunction="sum" dataDxfId="286" totalsRowDxfId="285"/>
    <tableColumn id="8" xr3:uid="{1285BE22-A916-497E-BF24-6617136AC1AE}" name="Seansų sk. _x000a_(Show count)" dataDxfId="284" totalsRowDxfId="283"/>
    <tableColumn id="9" xr3:uid="{11B92748-FAE2-407A-A67B-0EF7156D7FC5}" name="Lankomumo vid._x000a_(Average ADM)" dataDxfId="282" totalsRowDxfId="281">
      <calculatedColumnFormula>G3/H3</calculatedColumnFormula>
    </tableColumn>
    <tableColumn id="10" xr3:uid="{95CF0B48-E014-453F-8029-C57B1CC1622A}" name="Kopijų sk. _x000a_(DCO count)" dataDxfId="280" totalsRowDxfId="279"/>
    <tableColumn id="11" xr3:uid="{B083FE05-FE10-4680-BE63-5AA5D5FD608F}" name="Rodymo savaitė_x000a_(Week on screen)" dataDxfId="278" totalsRowDxfId="277"/>
    <tableColumn id="12" xr3:uid="{47FF7AC1-8898-4181-845D-A2A6E39895CB}" name="Bendros pajamos _x000a_(Total GBO)" dataDxfId="276" totalsRowDxfId="275"/>
    <tableColumn id="13" xr3:uid="{DCA7EDE0-3802-45F9-89A1-E37A380357A9}" name="Bendras žiūrovų sk._x000a_(Total ADM)" dataDxfId="274" totalsRowDxfId="273"/>
    <tableColumn id="14" xr3:uid="{550F0725-07FE-42BF-AF96-9B1711F64326}" name="Premjeros data _x000a_(Release date)" dataDxfId="272" totalsRowDxfId="271"/>
    <tableColumn id="15" xr3:uid="{BCAB7076-D442-4465-8DB1-0000E164A781}" name="Platintojas _x000a_(Distributor)" dataDxfId="270" totalsRowDxfId="269"/>
  </tableColumns>
  <tableStyleInfo name="TableStyleLight1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E021053B-0BFE-4A5A-BCD7-7C7B74E51B2B}" name="Table1324587" displayName="Table1324587" ref="A2:O50" totalsRowCount="1" headerRowDxfId="268" dataDxfId="266" headerRowBorderDxfId="267">
  <sortState xmlns:xlrd2="http://schemas.microsoft.com/office/spreadsheetml/2017/richdata2" ref="A3:O49">
    <sortCondition descending="1" ref="D3:D49"/>
  </sortState>
  <tableColumns count="15">
    <tableColumn id="1" xr3:uid="{BB92D9D0-04C5-45E6-A6BF-B570A0361E41}" name="#" totalsRowLabel=" " dataDxfId="265" totalsRowDxfId="264"/>
    <tableColumn id="2" xr3:uid="{8EFF654B-0686-4D00-B095-010EEB2B9F56}" name="#_x000a_LW" totalsRowLabel=" " dataDxfId="263" totalsRowDxfId="262"/>
    <tableColumn id="3" xr3:uid="{016CB9B1-9DCF-448B-90FA-822B22F00FE2}" name="Filmas _x000a_(Movie)" totalsRowLabel="Total (47)" dataDxfId="261" totalsRowDxfId="260"/>
    <tableColumn id="4" xr3:uid="{75ECAD37-8487-4298-A505-C8FCC7A31A56}" name="Pajamos _x000a_(GBO)" totalsRowFunction="sum" dataDxfId="259" totalsRowDxfId="258"/>
    <tableColumn id="5" xr3:uid="{2CA40E15-DFB8-40D3-8558-7DC56442C69B}" name="Pajamos _x000a_praeita sav._x000a_(GBO LW)" totalsRowLabel="209 376 €" dataDxfId="257" totalsRowDxfId="256"/>
    <tableColumn id="6" xr3:uid="{1E339064-B64A-4D74-AB18-07BD2F1F0EAD}" name="Pakitimas_x000a_(Change)" totalsRowFunction="custom" dataDxfId="255" totalsRowDxfId="254">
      <calculatedColumnFormula>(D3-E3)/E3</calculatedColumnFormula>
      <totalsRowFormula>(D50-E50)/E50</totalsRowFormula>
    </tableColumn>
    <tableColumn id="7" xr3:uid="{E58F62E8-3BB2-42F0-BF53-C8B16AC02402}" name="Žiūrovų sk. _x000a_(ADM)" totalsRowFunction="sum" dataDxfId="253" totalsRowDxfId="252"/>
    <tableColumn id="8" xr3:uid="{A4A3E959-2A34-4270-BC8D-7FD0B5BDA303}" name="Seansų sk. _x000a_(Show count)" dataDxfId="251" totalsRowDxfId="250"/>
    <tableColumn id="9" xr3:uid="{1FF32C49-DCA6-445F-B01F-1D645CE241D9}" name="Lankomumo vid._x000a_(Average ADM)" dataDxfId="249" totalsRowDxfId="248">
      <calculatedColumnFormula>G3/H3</calculatedColumnFormula>
    </tableColumn>
    <tableColumn id="10" xr3:uid="{4E1EA676-0A09-4596-8084-0FCD362D5710}" name="Kopijų sk. _x000a_(DCO count)" dataDxfId="247" totalsRowDxfId="246"/>
    <tableColumn id="11" xr3:uid="{5A7A471D-EBAD-4E53-A342-7AFC4E3133AB}" name="Rodymo savaitė_x000a_(Week on screen)" dataDxfId="245" totalsRowDxfId="244"/>
    <tableColumn id="12" xr3:uid="{6FF253F6-A3E7-4251-94B5-F61D804B6A86}" name="Bendros pajamos _x000a_(Total GBO)" dataDxfId="243" totalsRowDxfId="242"/>
    <tableColumn id="13" xr3:uid="{0B8DFB87-B938-4489-BDFB-5D114180F5FE}" name="Bendras žiūrovų sk._x000a_(Total ADM)" dataDxfId="241" totalsRowDxfId="240"/>
    <tableColumn id="14" xr3:uid="{A2C5484B-0662-4A3B-BD80-24C99F328E2A}" name="Premjeros data _x000a_(Release date)" dataDxfId="239" totalsRowDxfId="238"/>
    <tableColumn id="15" xr3:uid="{AEF38AEF-D976-4A3F-B824-8D9025E9D119}" name="Platintojas _x000a_(Distributor)" dataDxfId="237" totalsRowDxfId="236"/>
  </tableColumns>
  <tableStyleInfo name="TableStyleLight1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288D3060-0913-4990-913C-DE27CFB65C92}" name="Table132458" displayName="Table132458" ref="A2:O57" totalsRowCount="1" headerRowDxfId="235" dataDxfId="233" headerRowBorderDxfId="234">
  <sortState xmlns:xlrd2="http://schemas.microsoft.com/office/spreadsheetml/2017/richdata2" ref="A3:O56">
    <sortCondition descending="1" ref="D3:D56"/>
  </sortState>
  <tableColumns count="15">
    <tableColumn id="1" xr3:uid="{7CEB5EBA-2A00-4B9E-841F-A3A25BBB7E81}" name="#" totalsRowLabel=" " dataDxfId="232" totalsRowDxfId="231"/>
    <tableColumn id="2" xr3:uid="{B337CFA8-BBA5-48F6-9566-F7A105C8DDD1}" name="#_x000a_LW" totalsRowLabel=" " dataDxfId="230" totalsRowDxfId="229"/>
    <tableColumn id="3" xr3:uid="{1A3C1ACA-0AD4-4588-8B76-57293BA1601B}" name="Filmas _x000a_(Movie)" totalsRowLabel="Total (54)" dataDxfId="228" totalsRowDxfId="227"/>
    <tableColumn id="4" xr3:uid="{DA91FC0A-D76E-47CF-936C-F9E8EA584AFB}" name="Pajamos _x000a_(GBO)" totalsRowFunction="sum" dataDxfId="226" totalsRowDxfId="225"/>
    <tableColumn id="5" xr3:uid="{53B6F06B-FE76-4B23-B99E-16F81CF8821E}" name="Pajamos _x000a_praeita sav._x000a_(GBO LW)" totalsRowLabel="231 755 €" dataDxfId="224" totalsRowDxfId="223"/>
    <tableColumn id="6" xr3:uid="{44EC241D-1826-447D-B08D-3A007E2EB7A4}" name="Pakitimas_x000a_(Change)" totalsRowFunction="custom" dataDxfId="222" totalsRowDxfId="221">
      <calculatedColumnFormula>(D3-E3)/E3</calculatedColumnFormula>
      <totalsRowFormula>(D57-E57)/E57</totalsRowFormula>
    </tableColumn>
    <tableColumn id="7" xr3:uid="{667AFC9A-71CE-4389-8F49-7F3D1D613E29}" name="Žiūrovų sk. _x000a_(ADM)" totalsRowFunction="sum" dataDxfId="220" totalsRowDxfId="219"/>
    <tableColumn id="8" xr3:uid="{5BA149B3-430B-4096-8FF4-FB9BCB8C4DF4}" name="Seansų sk. _x000a_(Show count)" dataDxfId="218" totalsRowDxfId="217"/>
    <tableColumn id="9" xr3:uid="{FBE0E51F-8AD4-4D91-9854-D5701BDDB121}" name="Lankomumo vid._x000a_(Average ADM)" dataDxfId="216" totalsRowDxfId="215">
      <calculatedColumnFormula>G3/H3</calculatedColumnFormula>
    </tableColumn>
    <tableColumn id="10" xr3:uid="{7F67B090-0685-4520-AE55-80738A154E59}" name="Kopijų sk. _x000a_(DCO count)" dataDxfId="214" totalsRowDxfId="213"/>
    <tableColumn id="11" xr3:uid="{A5699F31-FFD9-4526-A28C-A1A777EB82ED}" name="Rodymo savaitė_x000a_(Week on screen)" dataDxfId="212" totalsRowDxfId="211"/>
    <tableColumn id="12" xr3:uid="{804D1187-1952-419D-95ED-F9609265B8BD}" name="Bendros pajamos _x000a_(Total GBO)" dataDxfId="210" totalsRowDxfId="209"/>
    <tableColumn id="13" xr3:uid="{E8444548-B147-4E9F-A14F-C321400B68E1}" name="Bendras žiūrovų sk._x000a_(Total ADM)" dataDxfId="208" totalsRowDxfId="207"/>
    <tableColumn id="14" xr3:uid="{8B0C70AD-2F73-44BF-8D3A-3D3A44937B06}" name="Premjeros data _x000a_(Release date)" dataDxfId="206" totalsRowDxfId="205"/>
    <tableColumn id="15" xr3:uid="{02B009AA-7438-4EA7-8479-1067865296E6}" name="Platintojas _x000a_(Distributor)" dataDxfId="204" totalsRowDxfId="203"/>
  </tableColumns>
  <tableStyleInfo name="TableStyleLight1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756779C-BF7A-484D-AF83-60CADAA50280}" name="Table132456" displayName="Table132456" ref="A2:O45" totalsRowCount="1" headerRowDxfId="202" dataDxfId="200" totalsRowDxfId="199" headerRowBorderDxfId="201">
  <sortState xmlns:xlrd2="http://schemas.microsoft.com/office/spreadsheetml/2017/richdata2" ref="A3:O44">
    <sortCondition descending="1" ref="D3:D44"/>
  </sortState>
  <tableColumns count="15">
    <tableColumn id="1" xr3:uid="{48BB943B-0E0D-479C-8471-AB86B93F6F7F}" name="#" totalsRowLabel=" " dataDxfId="198" totalsRowDxfId="197"/>
    <tableColumn id="2" xr3:uid="{385EBD1C-5A91-4C79-8289-BA7603588145}" name="#_x000a_LW" totalsRowLabel=" " dataDxfId="196" totalsRowDxfId="195"/>
    <tableColumn id="3" xr3:uid="{DCBD11C1-3639-4035-AE5C-400238DA8719}" name="Filmas _x000a_(Movie)" totalsRowLabel="Total (42)" dataDxfId="194" totalsRowDxfId="193"/>
    <tableColumn id="4" xr3:uid="{B38182B2-DEDC-49F5-8C63-C0BDFBAC0F05}" name="Pajamos _x000a_(GBO)" totalsRowFunction="sum" dataDxfId="192" totalsRowDxfId="191"/>
    <tableColumn id="5" xr3:uid="{76A7DB27-9F91-4B02-BF2B-62DA9C78DB98}" name="Pajamos _x000a_praeita sav._x000a_(GBO LW)" totalsRowLabel="187 127 €" dataDxfId="190" totalsRowDxfId="189"/>
    <tableColumn id="6" xr3:uid="{9460C4D2-1411-46DB-81E6-EE400FC8B05E}" name="Pakitimas_x000a_(Change)" totalsRowFunction="custom" dataDxfId="188" totalsRowDxfId="187">
      <calculatedColumnFormula>(D3-E3)/E3</calculatedColumnFormula>
      <totalsRowFormula>(D45-E45)/E45</totalsRowFormula>
    </tableColumn>
    <tableColumn id="7" xr3:uid="{D8DA1A37-76D7-47F7-923A-81514DEABC57}" name="Žiūrovų sk. _x000a_(ADM)" totalsRowFunction="sum" dataDxfId="186" totalsRowDxfId="185"/>
    <tableColumn id="8" xr3:uid="{6745386E-5160-49F6-B880-3595F194CFDC}" name="Seansų sk. _x000a_(Show count)" dataDxfId="184" totalsRowDxfId="183"/>
    <tableColumn id="9" xr3:uid="{5154A502-A503-4000-A6DA-B09CB8A0FF1D}" name="Lankomumo vid._x000a_(Average ADM)" dataDxfId="182" totalsRowDxfId="181">
      <calculatedColumnFormula>G3/H3</calculatedColumnFormula>
    </tableColumn>
    <tableColumn id="10" xr3:uid="{6E87769C-2497-4FD6-B48E-01D3AC071BC2}" name="Kopijų sk. _x000a_(DCO count)" dataDxfId="180" totalsRowDxfId="179"/>
    <tableColumn id="11" xr3:uid="{4D46AA05-C765-4AA3-80EF-E22AF998E5DE}" name="Rodymo savaitė_x000a_(Week on screen)" dataDxfId="178" totalsRowDxfId="177"/>
    <tableColumn id="12" xr3:uid="{D4FDB0B5-09C3-43D2-B872-7051FDF785FB}" name="Bendros pajamos _x000a_(Total GBO)" dataDxfId="176" totalsRowDxfId="175"/>
    <tableColumn id="13" xr3:uid="{B88753C8-493D-4916-B5FD-FCB1BC0A61ED}" name="Bendras žiūrovų sk._x000a_(Total ADM)" dataDxfId="174" totalsRowDxfId="173"/>
    <tableColumn id="14" xr3:uid="{6E376ED7-D144-4CB5-B9ED-B62DABECB9F1}" name="Premjeros data _x000a_(Release date)" dataDxfId="172" totalsRowDxfId="171"/>
    <tableColumn id="15" xr3:uid="{9E077579-FF47-40E9-92DB-973793869FBF}" name="Platintojas _x000a_(Distributor)" dataDxfId="170" totalsRowDxfId="169"/>
  </tableColumns>
  <tableStyleInfo name="TableStyleLight1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EEA12A2-A653-422C-97F7-A4B3F18AA228}" name="Table13245" displayName="Table13245" ref="A2:O43" totalsRowCount="1" headerRowDxfId="168" dataDxfId="166" totalsRowDxfId="165" headerRowBorderDxfId="167">
  <sortState xmlns:xlrd2="http://schemas.microsoft.com/office/spreadsheetml/2017/richdata2" ref="A3:O42">
    <sortCondition descending="1" ref="D3:D42"/>
  </sortState>
  <tableColumns count="15">
    <tableColumn id="1" xr3:uid="{9B2026CE-33DB-40F4-AD3D-EE0090950C32}" name="#" totalsRowLabel=" " dataDxfId="164" totalsRowDxfId="163"/>
    <tableColumn id="2" xr3:uid="{87D3F7B1-4908-4D4F-A99C-8B2468DCD3F1}" name="#_x000a_LW" dataDxfId="162" totalsRowDxfId="161"/>
    <tableColumn id="3" xr3:uid="{E51F9725-BA3B-48E6-8C4F-FC159F70EDE2}" name="Filmas _x000a_(Movie)" totalsRowLabel="Total (40)" dataDxfId="160" totalsRowDxfId="159"/>
    <tableColumn id="4" xr3:uid="{77F64421-D6BF-4EAC-9ED5-F058F7C84B5E}" name="Pajamos _x000a_(GBO)" totalsRowFunction="sum" dataDxfId="158" totalsRowDxfId="157"/>
    <tableColumn id="5" xr3:uid="{3B159BB8-1D59-42B8-B7D4-8D9DC04CEFE7}" name="Pajamos _x000a_praeita sav._x000a_(GBO LW)" totalsRowLabel="241 909 €" dataDxfId="156" totalsRowDxfId="155"/>
    <tableColumn id="6" xr3:uid="{3654AA7C-D604-4CE4-8123-09DE9464AE43}" name="Pakitimas_x000a_(Change)" totalsRowFunction="custom" dataDxfId="154" totalsRowDxfId="153">
      <calculatedColumnFormula>(D3-E3)/E3</calculatedColumnFormula>
      <totalsRowFormula>(D43-E43)/E43</totalsRowFormula>
    </tableColumn>
    <tableColumn id="7" xr3:uid="{6A03EE79-EBB1-4BA0-A0E4-28CEAB770C1B}" name="Žiūrovų sk. _x000a_(ADM)" totalsRowFunction="sum" dataDxfId="152" totalsRowDxfId="151"/>
    <tableColumn id="8" xr3:uid="{BD381A99-F237-4FB6-B0D1-9067B70F0290}" name="Seansų sk. _x000a_(Show count)" dataDxfId="150" totalsRowDxfId="149"/>
    <tableColumn id="9" xr3:uid="{62C13EE5-10C4-4B8A-9873-AC6C2CCC4289}" name="Lankomumo vid._x000a_(Average ADM)" dataDxfId="148" totalsRowDxfId="147">
      <calculatedColumnFormula>G3/H3</calculatedColumnFormula>
    </tableColumn>
    <tableColumn id="10" xr3:uid="{2ECB1685-3793-431D-824B-4D6832FFB6B2}" name="Kopijų sk. _x000a_(DCO count)" dataDxfId="146" totalsRowDxfId="145"/>
    <tableColumn id="11" xr3:uid="{D8363BE9-FDDE-4426-B55E-93345762AB7C}" name="Rodymo savaitė_x000a_(Week on screen)" dataDxfId="144" totalsRowDxfId="143"/>
    <tableColumn id="12" xr3:uid="{9DE16FC3-BA80-41A8-9FF1-3EC7A8786878}" name="Bendros pajamos _x000a_(Total GBO)" dataDxfId="142" totalsRowDxfId="141"/>
    <tableColumn id="13" xr3:uid="{D7423247-9659-4896-98F6-86B32679407D}" name="Bendras žiūrovų sk._x000a_(Total ADM)" dataDxfId="140" totalsRowDxfId="139"/>
    <tableColumn id="14" xr3:uid="{6A270105-2DAD-45CE-BA2F-9A2288D0A9D1}" name="Premjeros data _x000a_(Release date)" dataDxfId="138" totalsRowDxfId="137"/>
    <tableColumn id="15" xr3:uid="{D529A355-D9DC-42F9-AAC7-39B803BC06E7}" name="Platintojas _x000a_(Distributor)" dataDxfId="136" totalsRowDxfId="135"/>
  </tableColumns>
  <tableStyleInfo name="TableStyleLight1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8031651-DB2F-465F-B891-296D5ADB96AE}" name="Table1324" displayName="Table1324" ref="A2:O49" totalsRowCount="1" headerRowDxfId="134" dataDxfId="132" totalsRowDxfId="131" headerRowBorderDxfId="133">
  <sortState xmlns:xlrd2="http://schemas.microsoft.com/office/spreadsheetml/2017/richdata2" ref="A3:O48">
    <sortCondition descending="1" ref="D3:D48"/>
  </sortState>
  <tableColumns count="15">
    <tableColumn id="1" xr3:uid="{72EA2AB3-A4E3-409C-B132-D9258C92E5F1}" name="#" totalsRowLabel=" " dataDxfId="130" totalsRowDxfId="129"/>
    <tableColumn id="2" xr3:uid="{2804E490-8E44-463F-94FF-201E9180732A}" name="#_x000a_LW" dataDxfId="128" totalsRowDxfId="127"/>
    <tableColumn id="3" xr3:uid="{529D5E00-E4F2-4A61-97CB-606F58AA8A25}" name="Filmas _x000a_(Movie)" totalsRowLabel="Total (46)" dataDxfId="126" totalsRowDxfId="125"/>
    <tableColumn id="4" xr3:uid="{86C8A68E-147F-4E7F-B69D-967A774109DA}" name="Pajamos _x000a_(GBO)" totalsRowFunction="sum" dataDxfId="124" totalsRowDxfId="123"/>
    <tableColumn id="5" xr3:uid="{39DC135B-7A91-42CE-98B4-2D8C819E1BC1}" name="Pajamos _x000a_praeita sav._x000a_(GBO LW)" totalsRowLabel="307 332 €" dataDxfId="122" totalsRowDxfId="121"/>
    <tableColumn id="6" xr3:uid="{0659B11D-485D-4251-BA57-000429EE4D90}" name="Pakitimas_x000a_(Change)" totalsRowFunction="custom" dataDxfId="120" totalsRowDxfId="119">
      <calculatedColumnFormula>(D3-E3)/E3</calculatedColumnFormula>
      <totalsRowFormula>(D49-E49)/E49</totalsRowFormula>
    </tableColumn>
    <tableColumn id="7" xr3:uid="{66F09110-5860-441D-BB20-66554FDC8904}" name="Žiūrovų sk. _x000a_(ADM)" totalsRowFunction="sum" dataDxfId="118" totalsRowDxfId="117"/>
    <tableColumn id="8" xr3:uid="{49A62236-AC2E-4757-894A-50C3D56E7AC0}" name="Seansų sk. _x000a_(Show count)" dataDxfId="116" totalsRowDxfId="115"/>
    <tableColumn id="9" xr3:uid="{5608BCAB-8256-4843-A31E-A705F94D05BA}" name="Lankomumo vid._x000a_(Average ADM)" dataDxfId="114" totalsRowDxfId="113">
      <calculatedColumnFormula>G3/H3</calculatedColumnFormula>
    </tableColumn>
    <tableColumn id="10" xr3:uid="{AE75D10E-E2EE-417B-9A7A-D4F448F9740C}" name="Kopijų sk. _x000a_(DCO count)" dataDxfId="112" totalsRowDxfId="111"/>
    <tableColumn id="11" xr3:uid="{93F96221-9705-4BB4-B1B0-361828ACC5CC}" name="Rodymo savaitė_x000a_(Week on screen)" dataDxfId="110" totalsRowDxfId="109"/>
    <tableColumn id="12" xr3:uid="{DC5C5176-3ACD-4B05-A354-8B82A167E545}" name="Bendros pajamos _x000a_(Total GBO)" dataDxfId="108" totalsRowDxfId="107"/>
    <tableColumn id="13" xr3:uid="{BEF6B9E1-CCAE-4BC2-9DA1-16785073FC3E}" name="Bendras žiūrovų sk._x000a_(Total ADM)" dataDxfId="106" totalsRowDxfId="105"/>
    <tableColumn id="14" xr3:uid="{3E2064A4-C8BF-4F31-861B-E03E8E5C8B2D}" name="Premjeros data _x000a_(Release date)" dataDxfId="104" totalsRowDxfId="103"/>
    <tableColumn id="15" xr3:uid="{5A8D45B5-9727-45A2-9E55-576D8045FBBE}" name="Platintojas _x000a_(Distributor)" dataDxfId="102" totalsRowDxfId="101"/>
  </tableColumns>
  <tableStyleInfo name="TableStyleLight1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8F46247-8936-4635-8E09-08EF9A9DEB50}" name="Table132" displayName="Table132" ref="A2:O50" totalsRowCount="1" headerRowDxfId="100" dataDxfId="98" totalsRowDxfId="97" headerRowBorderDxfId="99">
  <autoFilter ref="A2:O49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49">
    <sortCondition descending="1" ref="D3:D49"/>
  </sortState>
  <tableColumns count="15">
    <tableColumn id="1" xr3:uid="{5BE3831C-90CA-4401-AE0A-D1EABC801DC8}" name="#" totalsRowLabel=" " dataDxfId="96" totalsRowDxfId="95"/>
    <tableColumn id="2" xr3:uid="{B4CC7902-8720-447D-899E-0FF0CFD7773B}" name="#_x000a_LW" dataDxfId="94" totalsRowDxfId="93"/>
    <tableColumn id="3" xr3:uid="{717020F5-F2F5-42EC-A602-D186BC6CA5B8}" name="Filmas _x000a_(Movie)" totalsRowLabel="Total (47)" dataDxfId="92" totalsRowDxfId="91"/>
    <tableColumn id="4" xr3:uid="{8B6AFB84-5766-4E8E-9C2A-4E2A151C9A63}" name="Pajamos _x000a_(GBO)" totalsRowFunction="sum" dataDxfId="90" totalsRowDxfId="89"/>
    <tableColumn id="5" xr3:uid="{14FC9B8B-981B-4C91-86BE-2CD8F6B9BC62}" name="Pajamos _x000a_praeita sav._x000a_(GBO LW)" totalsRowLabel="269 560 €" dataDxfId="88" totalsRowDxfId="87"/>
    <tableColumn id="6" xr3:uid="{E6705E68-6098-4B41-B4E0-6F87D9124807}" name="Pakitimas_x000a_(Change)" totalsRowFunction="custom" dataDxfId="86" totalsRowDxfId="85">
      <calculatedColumnFormula>(D3-E3)/E3</calculatedColumnFormula>
      <totalsRowFormula>(D50-E50)/E50</totalsRowFormula>
    </tableColumn>
    <tableColumn id="7" xr3:uid="{3B880937-711C-40DA-95A1-E5C8F6D48AFA}" name="Žiūrovų sk. _x000a_(ADM)" totalsRowFunction="sum" dataDxfId="84" totalsRowDxfId="83"/>
    <tableColumn id="8" xr3:uid="{DE3B004D-B72D-4094-AC66-557275D1FFA5}" name="Seansų sk. _x000a_(Show count)" dataDxfId="82" totalsRowDxfId="81"/>
    <tableColumn id="9" xr3:uid="{E485F4BD-D5C8-43B8-8A8A-8579FCCE3802}" name="Lankomumo vid._x000a_(Average ADM)" dataDxfId="80" totalsRowDxfId="79">
      <calculatedColumnFormula>G3/H3</calculatedColumnFormula>
    </tableColumn>
    <tableColumn id="10" xr3:uid="{AB410BEF-A38A-4FA3-82F7-EE95A924E7D3}" name="Kopijų sk. _x000a_(DCO count)" dataDxfId="78" totalsRowDxfId="77"/>
    <tableColumn id="11" xr3:uid="{BBBB5978-8BE3-49E8-9542-72EEFC2FE805}" name="Rodymo savaitė_x000a_(Week on screen)" dataDxfId="76" totalsRowDxfId="75"/>
    <tableColumn id="12" xr3:uid="{B0800393-91C1-49AE-BDDC-2FBD1C24CAD7}" name="Bendros pajamos _x000a_(Total GBO)" dataDxfId="74" totalsRowDxfId="73"/>
    <tableColumn id="13" xr3:uid="{6BDABA7C-966C-43AF-AD44-307158D92342}" name="Bendras žiūrovų sk._x000a_(Total ADM)" dataDxfId="72" totalsRowDxfId="71"/>
    <tableColumn id="14" xr3:uid="{71A6104C-FF13-4CA0-BA1F-79E57C1E81ED}" name="Premjeros data _x000a_(Release date)" dataDxfId="70" totalsRowDxfId="69"/>
    <tableColumn id="15" xr3:uid="{AFF69607-DA7E-4C68-9D1C-5DC7792CCBF5}" name="Platintojas _x000a_(Distributor)" totalsRowLabel=" " dataDxfId="68" totalsRowDxfId="67"/>
  </tableColumns>
  <tableStyleInfo name="TableStyleLight1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4379E32-778B-487C-96D9-D0884832B667}" name="Table13" displayName="Table13" ref="A2:O52" totalsRowCount="1" headerRowDxfId="66" dataDxfId="64" totalsRowDxfId="63" headerRowBorderDxfId="65">
  <autoFilter ref="A2:O51" xr:uid="{00000000-000C-0000-FFFF-FFFF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</autoFilter>
  <sortState xmlns:xlrd2="http://schemas.microsoft.com/office/spreadsheetml/2017/richdata2" ref="A3:O51">
    <sortCondition descending="1" ref="D3:D51"/>
  </sortState>
  <tableColumns count="15">
    <tableColumn id="1" xr3:uid="{93EC8040-391C-4B64-803B-946594B6B7F7}" name="#" totalsRowLabel=" " dataDxfId="62" totalsRowDxfId="61"/>
    <tableColumn id="2" xr3:uid="{D6AA89DD-F402-49ED-B2CA-B45ED30EB6A8}" name="#_x000a_LW" totalsRowLabel=" " dataDxfId="60" totalsRowDxfId="59"/>
    <tableColumn id="3" xr3:uid="{8524161D-F780-40E6-96D9-D46D84D91E1F}" name="Filmas _x000a_(Movie)" totalsRowLabel="Total (49)" dataDxfId="58" totalsRowDxfId="57"/>
    <tableColumn id="4" xr3:uid="{898DAD4F-B56E-4B96-9BAF-7609A0041E01}" name="Pajamos _x000a_(GBO)" totalsRowFunction="sum" dataDxfId="56" totalsRowDxfId="55"/>
    <tableColumn id="5" xr3:uid="{C59F2D4C-5823-45F4-9D98-114FFD01A927}" name="Pajamos _x000a_praeita sav._x000a_(GBO LW)" totalsRowLabel="367 996 €" dataDxfId="54" totalsRowDxfId="53"/>
    <tableColumn id="6" xr3:uid="{F957FCE3-B2E4-448E-8740-03D906BC5EB7}" name="Pakitimas_x000a_(Change)" totalsRowFunction="custom" dataDxfId="52" totalsRowDxfId="51">
      <calculatedColumnFormula>(D3-E3)/E3</calculatedColumnFormula>
      <totalsRowFormula>(D52-E52)/E52</totalsRowFormula>
    </tableColumn>
    <tableColumn id="7" xr3:uid="{45DD8E99-004C-4D9C-979D-6F515FFFFB92}" name="Žiūrovų sk. _x000a_(ADM)" totalsRowFunction="sum" dataDxfId="50" totalsRowDxfId="49"/>
    <tableColumn id="8" xr3:uid="{2BB64C16-9186-4C4A-A0C9-08323CEFC402}" name="Seansų sk. _x000a_(Show count)" dataDxfId="48" totalsRowDxfId="47"/>
    <tableColumn id="9" xr3:uid="{F6C07FA5-1C03-4357-A44D-0B81FC66E2AF}" name="Lankomumo vid._x000a_(Average ADM)" dataDxfId="46" totalsRowDxfId="45">
      <calculatedColumnFormula>G3/H3</calculatedColumnFormula>
    </tableColumn>
    <tableColumn id="10" xr3:uid="{A3E561A1-4C0E-457E-84AA-349FD64794AE}" name="Kopijų sk. _x000a_(DCO count)" dataDxfId="44" totalsRowDxfId="43"/>
    <tableColumn id="11" xr3:uid="{E20BF4A7-9048-401E-A6FA-983414B01ED2}" name="Rodymo savaitė_x000a_(Week on screen)" dataDxfId="42" totalsRowDxfId="41"/>
    <tableColumn id="12" xr3:uid="{67BC01BA-5CB2-41D3-AB69-350EFF0FD930}" name="Bendros pajamos _x000a_(Total GBO)" dataDxfId="40" totalsRowDxfId="39"/>
    <tableColumn id="13" xr3:uid="{37483393-9FD8-4B34-8B9D-DE79FEFE93B2}" name="Bendras žiūrovų sk._x000a_(Total ADM)" dataDxfId="38" totalsRowDxfId="37"/>
    <tableColumn id="14" xr3:uid="{EADF24B6-15DA-48EA-B223-A587598EEB24}" name="Premjeros data _x000a_(Release date)" dataDxfId="36" totalsRowDxfId="35"/>
    <tableColumn id="15" xr3:uid="{5103FA11-CF5D-49EC-A2A1-D131ABB2109C}" name="Platintojas _x000a_(Distributor)" totalsRowLabel=" " dataDxfId="34" totalsRowDxfId="33"/>
  </tableColumns>
  <tableStyleInfo name="TableStyleLight1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FAA1767D-0893-472D-872D-1B0A7ABAB939}" name="Table132458791011121314151617181920212223262425" displayName="Table132458791011121314151617181920212223262425" ref="A2:O37" totalsRowCount="1" headerRowDxfId="862" dataDxfId="860" headerRowBorderDxfId="861">
  <sortState xmlns:xlrd2="http://schemas.microsoft.com/office/spreadsheetml/2017/richdata2" ref="A3:O36">
    <sortCondition descending="1" ref="D3:D36"/>
  </sortState>
  <tableColumns count="15">
    <tableColumn id="1" xr3:uid="{9B5D3266-F82A-415C-A2BC-1AE2BB39F888}" name="#" dataDxfId="859" totalsRowDxfId="858"/>
    <tableColumn id="2" xr3:uid="{1D275463-FD46-430F-942C-5EB6BB58922E}" name="#_x000a_LW" dataDxfId="857" totalsRowDxfId="856"/>
    <tableColumn id="3" xr3:uid="{5C059170-40F1-4586-9234-2BB67C8FFCDE}" name="Filmas _x000a_(Movie)" totalsRowLabel="Total (34)" dataDxfId="855" totalsRowDxfId="854"/>
    <tableColumn id="4" xr3:uid="{27B2FF4C-FADA-4027-8F28-4B3ACAB56811}" name="Pajamos _x000a_(GBO)" totalsRowFunction="sum" dataDxfId="853" totalsRowDxfId="852"/>
    <tableColumn id="5" xr3:uid="{C6A01B60-A65D-46E9-BD7F-F426FF0607CB}" name="Pajamos _x000a_praeita sav._x000a_(GBO LW)" totalsRowLabel="381 220 €" dataDxfId="851" totalsRowDxfId="850"/>
    <tableColumn id="6" xr3:uid="{6C6B06D6-7176-43E8-9D79-62A90CB7214F}" name="Pakitimas_x000a_(Change)" totalsRowFunction="custom" dataDxfId="849" totalsRowDxfId="848">
      <totalsRowFormula>(D37-E37)/E37</totalsRowFormula>
    </tableColumn>
    <tableColumn id="7" xr3:uid="{4880C3AD-ADA4-4F92-9B3E-E163DF997729}" name="Žiūrovų sk. _x000a_(ADM)" totalsRowFunction="sum" dataDxfId="847" totalsRowDxfId="846"/>
    <tableColumn id="8" xr3:uid="{0900FE2F-0F13-466E-9A72-FDF0E44705FF}" name="Seansų sk. _x000a_(Show count)" dataDxfId="845" totalsRowDxfId="844"/>
    <tableColumn id="9" xr3:uid="{BDECB389-E26D-4CF2-8DC7-0DBE74B21089}" name="Lankomumo vid._x000a_(Average ADM)" dataDxfId="843" totalsRowDxfId="842">
      <calculatedColumnFormula>G3/H3</calculatedColumnFormula>
    </tableColumn>
    <tableColumn id="10" xr3:uid="{A10DCE6E-066E-4BAD-9482-26E8BE9DECE1}" name="Kopijų sk. _x000a_(DCO count)" dataDxfId="841" totalsRowDxfId="840"/>
    <tableColumn id="11" xr3:uid="{93157401-2FFC-45BC-A68E-C03FA1C67679}" name="Rodymo savaitė_x000a_(Week on screen)" dataDxfId="839" totalsRowDxfId="838"/>
    <tableColumn id="12" xr3:uid="{B83AD195-C2B5-4FFA-AE86-026BF209E1EA}" name="Bendros pajamos _x000a_(Total GBO)" dataDxfId="837" totalsRowDxfId="836"/>
    <tableColumn id="13" xr3:uid="{4CF0CC45-6462-4FB3-9CBC-07A8BE4CF859}" name="Bendras žiūrovų sk._x000a_(Total ADM)" dataDxfId="835" totalsRowDxfId="834"/>
    <tableColumn id="14" xr3:uid="{FA974B6A-94D6-4839-95BF-A8195DCC981A}" name="Premjeros data _x000a_(Release date)" dataDxfId="833" totalsRowDxfId="832"/>
    <tableColumn id="15" xr3:uid="{2D53A0AB-84D6-4EFD-BCF1-4685116AFC0D}" name="Platintojas _x000a_(Distributor)" dataDxfId="831" totalsRowDxfId="830"/>
  </tableColumns>
  <tableStyleInfo name="TableStyleLight1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C406E321-E9E2-4838-9878-4A9FE7985E1C}" name="Table1324587910111213141516171819202122232624" displayName="Table1324587910111213141516171819202122232624" ref="A2:O42" totalsRowCount="1" headerRowDxfId="829" dataDxfId="827" headerRowBorderDxfId="828">
  <sortState xmlns:xlrd2="http://schemas.microsoft.com/office/spreadsheetml/2017/richdata2" ref="A3:O41">
    <sortCondition descending="1" ref="D3:D41"/>
  </sortState>
  <tableColumns count="15">
    <tableColumn id="1" xr3:uid="{4B4A52FE-EDBF-4E94-8427-B353115696B1}" name="#" dataDxfId="826" totalsRowDxfId="825"/>
    <tableColumn id="2" xr3:uid="{6653396A-FB42-44B7-881B-24125ABEDD91}" name="#_x000a_LW" dataDxfId="824" totalsRowDxfId="823"/>
    <tableColumn id="3" xr3:uid="{7387D8C0-9434-4D90-805C-7E115767C7AA}" name="Filmas _x000a_(Movie)" totalsRowLabel="Total (39)" dataDxfId="822" totalsRowDxfId="821"/>
    <tableColumn id="4" xr3:uid="{C74F8BD0-086E-4D95-B9F5-AA1C388CBB78}" name="Pajamos _x000a_(GBO)" totalsRowFunction="sum" dataDxfId="820" totalsRowDxfId="819"/>
    <tableColumn id="5" xr3:uid="{944519E8-CE28-4E06-BF44-87C1B26BC7F0}" name="Pajamos _x000a_praeita sav._x000a_(GBO LW)" totalsRowLabel="296 645 €" dataDxfId="818" totalsRowDxfId="817"/>
    <tableColumn id="6" xr3:uid="{DE7E72FC-46B2-4232-9A16-39B35CAD6685}" name="Pakitimas_x000a_(Change)" totalsRowFunction="custom" dataDxfId="816" totalsRowDxfId="815">
      <totalsRowFormula>(D42-E42)/E42</totalsRowFormula>
    </tableColumn>
    <tableColumn id="7" xr3:uid="{B3CC6290-B69C-4F28-8A33-0B073D706656}" name="Žiūrovų sk. _x000a_(ADM)" totalsRowFunction="sum" dataDxfId="814" totalsRowDxfId="813"/>
    <tableColumn id="8" xr3:uid="{0776BBAE-5B7A-4FEB-BE07-200E3CC7148E}" name="Seansų sk. _x000a_(Show count)" dataDxfId="812" totalsRowDxfId="811"/>
    <tableColumn id="9" xr3:uid="{0BB5E02C-10E1-45FA-AC48-FB4C197058BE}" name="Lankomumo vid._x000a_(Average ADM)" dataDxfId="810" totalsRowDxfId="809">
      <calculatedColumnFormula>G3/H3</calculatedColumnFormula>
    </tableColumn>
    <tableColumn id="10" xr3:uid="{4CF86A82-0479-42E9-BA35-CE2305A3A5BA}" name="Kopijų sk. _x000a_(DCO count)" dataDxfId="808" totalsRowDxfId="807"/>
    <tableColumn id="11" xr3:uid="{A8058140-10A5-4258-87C6-34F11F6D9E36}" name="Rodymo savaitė_x000a_(Week on screen)" dataDxfId="806" totalsRowDxfId="805"/>
    <tableColumn id="12" xr3:uid="{74C65B39-666E-483E-BBC5-1EB4E59D0200}" name="Bendros pajamos _x000a_(Total GBO)" dataDxfId="804" totalsRowDxfId="803"/>
    <tableColumn id="13" xr3:uid="{B84907CC-83C8-4E2F-B7F6-CE6D56DE9CE4}" name="Bendras žiūrovų sk._x000a_(Total ADM)" dataDxfId="802" totalsRowDxfId="801"/>
    <tableColumn id="14" xr3:uid="{41A779ED-F79A-47D2-9A35-BDE7FB2A151A}" name="Premjeros data _x000a_(Release date)" dataDxfId="800" totalsRowDxfId="799"/>
    <tableColumn id="15" xr3:uid="{B75E6987-40E2-44C1-A7D4-9E47F6FFEB75}" name="Platintojas _x000a_(Distributor)" dataDxfId="798" totalsRowDxfId="797"/>
  </tableColumns>
  <tableStyleInfo name="TableStyleLight1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8923AE5-BD9A-48A4-B2D3-830FDEEFA4A8}" name="Table13245879101112131415161718192021222326" displayName="Table13245879101112131415161718192021222326" ref="A2:O40" totalsRowCount="1" headerRowDxfId="796" dataDxfId="794" headerRowBorderDxfId="795">
  <sortState xmlns:xlrd2="http://schemas.microsoft.com/office/spreadsheetml/2017/richdata2" ref="A3:O39">
    <sortCondition descending="1" ref="D3:D39"/>
  </sortState>
  <tableColumns count="15">
    <tableColumn id="1" xr3:uid="{0C2F1888-630E-49E9-8B48-20B6DD51048A}" name="#" dataDxfId="793" totalsRowDxfId="792"/>
    <tableColumn id="2" xr3:uid="{2740763F-82AA-4D06-ADAB-45A8E7888084}" name="#_x000a_LW" dataDxfId="791" totalsRowDxfId="790"/>
    <tableColumn id="3" xr3:uid="{FC706D9E-D2FF-4EA7-B21A-BA7C96BC1FA1}" name="Filmas _x000a_(Movie)" totalsRowLabel="Total (37)" dataDxfId="789" totalsRowDxfId="788"/>
    <tableColumn id="4" xr3:uid="{63AD0B96-A8E3-4B3F-89D1-6772DA543069}" name="Pajamos _x000a_(GBO)" totalsRowFunction="sum" dataDxfId="787" totalsRowDxfId="786"/>
    <tableColumn id="5" xr3:uid="{3D945E37-AEC4-4F2F-8AA4-6AB06F679D34}" name="Pajamos _x000a_praeita sav._x000a_(GBO LW)" totalsRowLabel="255 830 €" dataDxfId="785" totalsRowDxfId="784"/>
    <tableColumn id="6" xr3:uid="{C2D1A1BA-3352-4312-B4CA-A72B94C6E0A8}" name="Pakitimas_x000a_(Change)" totalsRowFunction="custom" dataDxfId="783" totalsRowDxfId="782">
      <totalsRowFormula>(D40-E40)/E40</totalsRowFormula>
    </tableColumn>
    <tableColumn id="7" xr3:uid="{11830628-09F9-412C-8A48-0BBCCAAEB118}" name="Žiūrovų sk. _x000a_(ADM)" totalsRowFunction="sum" dataDxfId="781" totalsRowDxfId="780"/>
    <tableColumn id="8" xr3:uid="{D4BF3079-F393-49B0-AF7D-3E2DC2B153D7}" name="Seansų sk. _x000a_(Show count)" dataDxfId="779" totalsRowDxfId="778"/>
    <tableColumn id="9" xr3:uid="{1FFE797F-0D0D-4BA7-954C-0777F05DC88B}" name="Lankomumo vid._x000a_(Average ADM)" dataDxfId="777" totalsRowDxfId="776">
      <calculatedColumnFormula>G3/H3</calculatedColumnFormula>
    </tableColumn>
    <tableColumn id="10" xr3:uid="{2013BFEC-4D16-4A07-BFB4-498C842A2967}" name="Kopijų sk. _x000a_(DCO count)" dataDxfId="775" totalsRowDxfId="774"/>
    <tableColumn id="11" xr3:uid="{149E7211-89AF-48A4-9B44-19CEF21CE623}" name="Rodymo savaitė_x000a_(Week on screen)" dataDxfId="773" totalsRowDxfId="772"/>
    <tableColumn id="12" xr3:uid="{F4B7B33C-8E3E-4489-8BAE-0D91963AB800}" name="Bendros pajamos _x000a_(Total GBO)" dataDxfId="771" totalsRowDxfId="770"/>
    <tableColumn id="13" xr3:uid="{74EE1830-88AD-42F3-A639-68F3F5F3B571}" name="Bendras žiūrovų sk._x000a_(Total ADM)" dataDxfId="769" totalsRowDxfId="768"/>
    <tableColumn id="14" xr3:uid="{1CE5FDC2-4DAF-4A5B-A495-0EB141014A12}" name="Premjeros data _x000a_(Release date)" dataDxfId="767" totalsRowDxfId="766"/>
    <tableColumn id="15" xr3:uid="{321E4F8E-475D-4613-A20B-85BD107FC599}" name="Platintojas _x000a_(Distributor)" dataDxfId="765" totalsRowDxfId="764"/>
  </tableColumns>
  <tableStyleInfo name="TableStyleLight1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1D1E30F8-1259-4713-8FEF-95209DDF602A}" name="Table132458791011121314151617181920212223" displayName="Table132458791011121314151617181920212223" ref="A2:O38" totalsRowCount="1" headerRowDxfId="763" dataDxfId="761" headerRowBorderDxfId="762">
  <sortState xmlns:xlrd2="http://schemas.microsoft.com/office/spreadsheetml/2017/richdata2" ref="A3:O37">
    <sortCondition descending="1" ref="D3:D37"/>
  </sortState>
  <tableColumns count="15">
    <tableColumn id="1" xr3:uid="{0967675A-B349-454E-AB09-2FFCA0F2BFAA}" name="#" dataDxfId="760" totalsRowDxfId="759"/>
    <tableColumn id="2" xr3:uid="{B58B07FD-3705-4CBD-83D9-E2D53D64CCBD}" name="#_x000a_LW" dataDxfId="758" totalsRowDxfId="757"/>
    <tableColumn id="3" xr3:uid="{1DCBC2B4-A7D5-4730-A230-906BC923F4B0}" name="Filmas _x000a_(Movie)" totalsRowLabel="Total (35)" dataDxfId="756" totalsRowDxfId="755"/>
    <tableColumn id="4" xr3:uid="{7D4318CA-0AFA-4793-A2A9-C08F8BE43DDE}" name="Pajamos _x000a_(GBO)" totalsRowFunction="sum" dataDxfId="754" totalsRowDxfId="753"/>
    <tableColumn id="5" xr3:uid="{1186FED0-C7E1-423D-AC61-9BCABEA86A9C}" name="Pajamos _x000a_praeita sav._x000a_(GBO LW)" totalsRowLabel="229 177 €" dataDxfId="752" totalsRowDxfId="751"/>
    <tableColumn id="6" xr3:uid="{12F7CE87-8E02-4969-AAD1-FDC3C9138701}" name="Pakitimas_x000a_(Change)" totalsRowFunction="custom" dataDxfId="750" totalsRowDxfId="749">
      <totalsRowFormula>(D38-E38)/E38</totalsRowFormula>
    </tableColumn>
    <tableColumn id="7" xr3:uid="{A3F7230B-BB20-4982-A74C-8A1812349AA4}" name="Žiūrovų sk. _x000a_(ADM)" totalsRowFunction="sum" dataDxfId="748" totalsRowDxfId="747"/>
    <tableColumn id="8" xr3:uid="{1D496049-C736-4F27-B63B-7AAD08DC512D}" name="Seansų sk. _x000a_(Show count)" dataDxfId="746" totalsRowDxfId="745"/>
    <tableColumn id="9" xr3:uid="{978D8849-6D92-4A6A-A568-DD7C3DB296B4}" name="Lankomumo vid._x000a_(Average ADM)" dataDxfId="744" totalsRowDxfId="743">
      <calculatedColumnFormula>G3/H3</calculatedColumnFormula>
    </tableColumn>
    <tableColumn id="10" xr3:uid="{7D33EB2E-5503-4A55-9C0B-8DBD9AA9D6C7}" name="Kopijų sk. _x000a_(DCO count)" dataDxfId="742" totalsRowDxfId="741"/>
    <tableColumn id="11" xr3:uid="{7934DD7B-269D-4C85-A8BE-4AF8890B0F3B}" name="Rodymo savaitė_x000a_(Week on screen)" dataDxfId="740" totalsRowDxfId="739"/>
    <tableColumn id="12" xr3:uid="{0EEE075E-7EA6-435B-9302-9CDF3033952A}" name="Bendros pajamos _x000a_(Total GBO)" dataDxfId="738" totalsRowDxfId="737"/>
    <tableColumn id="13" xr3:uid="{C7D44654-BFC2-4DDF-8527-074F6C3E93E2}" name="Bendras žiūrovų sk._x000a_(Total ADM)" dataDxfId="736" totalsRowDxfId="735"/>
    <tableColumn id="14" xr3:uid="{AEA89364-B80C-4FA2-9E95-28ADF0244ECA}" name="Premjeros data _x000a_(Release date)" dataDxfId="734" totalsRowDxfId="733"/>
    <tableColumn id="15" xr3:uid="{5E7F266E-DAB3-431C-8816-A43614674ABD}" name="Platintojas _x000a_(Distributor)" dataDxfId="732" totalsRowDxfId="731"/>
  </tableColumns>
  <tableStyleInfo name="TableStyleLight1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77509658-0B21-4C36-938D-C55D82D7E70A}" name="Table1324587910111213141516171819202122" displayName="Table1324587910111213141516171819202122" ref="A2:O40" totalsRowCount="1" headerRowDxfId="730" dataDxfId="728" headerRowBorderDxfId="729">
  <sortState xmlns:xlrd2="http://schemas.microsoft.com/office/spreadsheetml/2017/richdata2" ref="A3:O39">
    <sortCondition descending="1" ref="D3:D39"/>
  </sortState>
  <tableColumns count="15">
    <tableColumn id="1" xr3:uid="{A21D52B9-B4C0-40A0-9698-4E9B588307D2}" name="#" dataDxfId="727" totalsRowDxfId="726"/>
    <tableColumn id="2" xr3:uid="{C8982B79-9831-4CD9-8CA1-6FD0C1DC81F5}" name="#_x000a_LW" dataDxfId="725" totalsRowDxfId="724"/>
    <tableColumn id="3" xr3:uid="{9930183A-6306-47BF-B681-D49ED4C68526}" name="Filmas _x000a_(Movie)" totalsRowLabel="Total (37)" dataDxfId="723" totalsRowDxfId="722"/>
    <tableColumn id="4" xr3:uid="{50D7006A-6268-40D7-B5CA-9A0E938DB4DC}" name="Pajamos _x000a_(GBO)" totalsRowFunction="sum" dataDxfId="721" totalsRowDxfId="720"/>
    <tableColumn id="5" xr3:uid="{97C90BE7-9F01-41A0-BA8D-EE9A6B4E3BA2}" name="Pajamos _x000a_praeita sav._x000a_(GBO LW)" totalsRowLabel="276 912 €" dataDxfId="719" totalsRowDxfId="718"/>
    <tableColumn id="6" xr3:uid="{A45B0A41-6909-45BD-86E3-41E3949D6A27}" name="Pakitimas_x000a_(Change)" totalsRowFunction="custom" dataDxfId="717" totalsRowDxfId="716">
      <totalsRowFormula>(D40-E40)/E40</totalsRowFormula>
    </tableColumn>
    <tableColumn id="7" xr3:uid="{CCD2EC97-7233-4E7C-815B-34A32FD5EC60}" name="Žiūrovų sk. _x000a_(ADM)" totalsRowFunction="sum" dataDxfId="715" totalsRowDxfId="714"/>
    <tableColumn id="8" xr3:uid="{C5D1E684-FA64-4C76-B880-77A53BD7880B}" name="Seansų sk. _x000a_(Show count)" dataDxfId="713" totalsRowDxfId="712"/>
    <tableColumn id="9" xr3:uid="{13820066-456D-46B3-A7E4-4D3D042402D8}" name="Lankomumo vid._x000a_(Average ADM)" dataDxfId="711" totalsRowDxfId="710">
      <calculatedColumnFormula>G3/H3</calculatedColumnFormula>
    </tableColumn>
    <tableColumn id="10" xr3:uid="{A96A8BF1-920A-4F3A-80CA-0881F66B0343}" name="Kopijų sk. _x000a_(DCO count)" dataDxfId="709" totalsRowDxfId="708"/>
    <tableColumn id="11" xr3:uid="{A028CC3B-E72E-45DF-B57E-26EAC1A4CD19}" name="Rodymo savaitė_x000a_(Week on screen)" dataDxfId="707" totalsRowDxfId="706"/>
    <tableColumn id="12" xr3:uid="{40E7EB1B-AB2C-46E3-9035-F0B0FDF8BD56}" name="Bendros pajamos _x000a_(Total GBO)" dataDxfId="705" totalsRowDxfId="704"/>
    <tableColumn id="13" xr3:uid="{83DF7061-617E-4A49-9ADF-5A91EAFF94F2}" name="Bendras žiūrovų sk._x000a_(Total ADM)" dataDxfId="703" totalsRowDxfId="702"/>
    <tableColumn id="14" xr3:uid="{379CFE41-F784-4A87-AB40-193D73718E5A}" name="Premjeros data _x000a_(Release date)" dataDxfId="701" totalsRowDxfId="700"/>
    <tableColumn id="15" xr3:uid="{2E100946-8141-48AB-8FE7-06E7970DF41F}" name="Platintojas _x000a_(Distributor)" dataDxfId="699" totalsRowDxfId="698"/>
  </tableColumns>
  <tableStyleInfo name="TableStyleLight1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4990AD-6BF0-4BDE-994D-7C4B684CC17C}" name="Table13245879101112131415161718192021" displayName="Table13245879101112131415161718192021" ref="A2:O42" totalsRowCount="1" headerRowDxfId="697" dataDxfId="695" headerRowBorderDxfId="696">
  <sortState xmlns:xlrd2="http://schemas.microsoft.com/office/spreadsheetml/2017/richdata2" ref="A3:O41">
    <sortCondition descending="1" ref="D3:D41"/>
  </sortState>
  <tableColumns count="15">
    <tableColumn id="1" xr3:uid="{5D6F3F82-5905-4345-8B89-C3082E80ACCE}" name="#" dataDxfId="694" totalsRowDxfId="693"/>
    <tableColumn id="2" xr3:uid="{78347E79-A042-423C-AE2A-7405F8183141}" name="#_x000a_LW" dataDxfId="692" totalsRowDxfId="691"/>
    <tableColumn id="3" xr3:uid="{632FCD86-0438-459A-97C4-CF3236341B5E}" name="Filmas _x000a_(Movie)" totalsRowLabel="Total (39)" dataDxfId="690" totalsRowDxfId="689"/>
    <tableColumn id="4" xr3:uid="{17C5799C-2552-42CC-A0E2-CAE32338E4BA}" name="Pajamos _x000a_(GBO)" totalsRowFunction="sum" dataDxfId="688" totalsRowDxfId="687"/>
    <tableColumn id="5" xr3:uid="{3E18A612-AB8F-4B60-AE2A-79F90150FDB4}" name="Pajamos _x000a_praeita sav._x000a_(GBO LW)" totalsRowLabel="336 637 €" dataDxfId="686" totalsRowDxfId="685"/>
    <tableColumn id="6" xr3:uid="{50566D48-6B23-43D7-B125-F4935B39E13C}" name="Pakitimas_x000a_(Change)" totalsRowFunction="custom" dataDxfId="684" totalsRowDxfId="683">
      <totalsRowFormula>(D42-E42)/E42</totalsRowFormula>
    </tableColumn>
    <tableColumn id="7" xr3:uid="{E297CF4E-7ACA-4B21-8FD6-49E42A845CA2}" name="Žiūrovų sk. _x000a_(ADM)" totalsRowFunction="sum" dataDxfId="682" totalsRowDxfId="681"/>
    <tableColumn id="8" xr3:uid="{99311678-42AA-48FA-9A0F-00459ED94789}" name="Seansų sk. _x000a_(Show count)" dataDxfId="680" totalsRowDxfId="679"/>
    <tableColumn id="9" xr3:uid="{6A51554C-E27D-4032-A0D2-374C19B41157}" name="Lankomumo vid._x000a_(Average ADM)" dataDxfId="678" totalsRowDxfId="677">
      <calculatedColumnFormula>G3/H3</calculatedColumnFormula>
    </tableColumn>
    <tableColumn id="10" xr3:uid="{6294BF44-D4A1-4C53-83F0-EB30AE311844}" name="Kopijų sk. _x000a_(DCO count)" dataDxfId="676" totalsRowDxfId="675"/>
    <tableColumn id="11" xr3:uid="{580302FB-FB49-46B7-BAD9-716A4FA440DD}" name="Rodymo savaitė_x000a_(Week on screen)" dataDxfId="674" totalsRowDxfId="673"/>
    <tableColumn id="12" xr3:uid="{BD17606E-B6DA-431E-81A5-AD2F01DB48A5}" name="Bendros pajamos _x000a_(Total GBO)" dataDxfId="672" totalsRowDxfId="671"/>
    <tableColumn id="13" xr3:uid="{939DF6E7-72E7-439E-A68F-0050307A3D63}" name="Bendras žiūrovų sk._x000a_(Total ADM)" dataDxfId="670" totalsRowDxfId="669"/>
    <tableColumn id="14" xr3:uid="{921978C5-A7D3-4B58-9FED-55492213A86A}" name="Premjeros data _x000a_(Release date)" dataDxfId="668" totalsRowDxfId="667"/>
    <tableColumn id="15" xr3:uid="{85038E41-9236-4E79-901C-53CB122651A7}" name="Platintojas _x000a_(Distributor)" dataDxfId="666" totalsRowDxfId="665"/>
  </tableColumns>
  <tableStyleInfo name="TableStyleLight1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DFA8A847-D7BC-4BC3-B1E5-BFCEE959BE11}" name="Table132458791011121314151617181920" displayName="Table132458791011121314151617181920" ref="A2:O39" totalsRowCount="1" headerRowDxfId="664" dataDxfId="662" headerRowBorderDxfId="663">
  <sortState xmlns:xlrd2="http://schemas.microsoft.com/office/spreadsheetml/2017/richdata2" ref="A3:O38">
    <sortCondition descending="1" ref="D3:D38"/>
  </sortState>
  <tableColumns count="15">
    <tableColumn id="1" xr3:uid="{2692A32C-55EE-4955-9777-4D4E1223D5A3}" name="#" dataDxfId="661" totalsRowDxfId="660"/>
    <tableColumn id="2" xr3:uid="{722F4F64-A365-48DB-89C0-48F5ADF51639}" name="#_x000a_LW" dataDxfId="659" totalsRowDxfId="658"/>
    <tableColumn id="3" xr3:uid="{7B0F8564-0209-4EF4-88A3-E811A3267421}" name="Filmas _x000a_(Movie)" totalsRowLabel="Total (36)" dataDxfId="657" totalsRowDxfId="656"/>
    <tableColumn id="4" xr3:uid="{8CC3EF7C-12EE-4874-9E87-99564451F702}" name="Pajamos _x000a_(GBO)" totalsRowFunction="sum" dataDxfId="655" totalsRowDxfId="654"/>
    <tableColumn id="5" xr3:uid="{2EBB2FE9-6461-4539-BD46-2DDF4848E9FF}" name="Pajamos _x000a_praeita sav._x000a_(GBO LW)" totalsRowLabel="301 612 €" dataDxfId="653" totalsRowDxfId="652"/>
    <tableColumn id="6" xr3:uid="{843CE6C4-6D03-4A07-A671-BB488613F68E}" name="Pakitimas_x000a_(Change)" totalsRowFunction="custom" dataDxfId="651" totalsRowDxfId="650">
      <totalsRowFormula>(D39-E39)/E39</totalsRowFormula>
    </tableColumn>
    <tableColumn id="7" xr3:uid="{4F31AC77-CBA3-47F0-A255-9558C7ED6D7A}" name="Žiūrovų sk. _x000a_(ADM)" totalsRowFunction="sum" dataDxfId="649" totalsRowDxfId="648"/>
    <tableColumn id="8" xr3:uid="{D148DC96-BF4C-4C76-B8C1-2EB6C741A0C4}" name="Seansų sk. _x000a_(Show count)" dataDxfId="647" totalsRowDxfId="646"/>
    <tableColumn id="9" xr3:uid="{B2158B13-EF1B-4D0B-9053-D03CD6EE7D57}" name="Lankomumo vid._x000a_(Average ADM)" dataDxfId="645" totalsRowDxfId="644">
      <calculatedColumnFormula>G3/H3</calculatedColumnFormula>
    </tableColumn>
    <tableColumn id="10" xr3:uid="{1A79ABDC-55F4-4CDB-8040-8CE879E6015A}" name="Kopijų sk. _x000a_(DCO count)" dataDxfId="643" totalsRowDxfId="642"/>
    <tableColumn id="11" xr3:uid="{93FC901E-C539-4169-91D3-11F1DF608C3D}" name="Rodymo savaitė_x000a_(Week on screen)" dataDxfId="641" totalsRowDxfId="640"/>
    <tableColumn id="12" xr3:uid="{F7D5E00B-F974-4DBF-9FE0-F06789272814}" name="Bendros pajamos _x000a_(Total GBO)" dataDxfId="639" totalsRowDxfId="638"/>
    <tableColumn id="13" xr3:uid="{7ECFF16E-BC12-475B-8BA9-59DC4A0F1A0F}" name="Bendras žiūrovų sk._x000a_(Total ADM)" dataDxfId="637" totalsRowDxfId="636"/>
    <tableColumn id="14" xr3:uid="{D418FF49-BFD8-4CBF-AB75-E3FC4048A392}" name="Premjeros data _x000a_(Release date)" dataDxfId="635" totalsRowDxfId="634"/>
    <tableColumn id="15" xr3:uid="{6D173F76-4BEB-4840-9B5A-AACF9B6D3EB1}" name="Platintojas _x000a_(Distributor)" dataDxfId="633" totalsRowDxfId="632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7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5420B-E58C-4A6A-9AAC-FF36AC11B379}">
  <dimension ref="A1:XFC61"/>
  <sheetViews>
    <sheetView tabSelected="1" topLeftCell="A7" zoomScale="60" zoomScaleNormal="60" workbookViewId="0">
      <selection activeCell="C5" sqref="C5"/>
    </sheetView>
  </sheetViews>
  <sheetFormatPr defaultColWidth="0" defaultRowHeight="0" customHeight="1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81" customWidth="1"/>
    <col min="16" max="16" width="31.85546875" style="1" hidden="1" customWidth="1"/>
    <col min="17" max="16384" width="5.42578125" style="1" hidden="1"/>
  </cols>
  <sheetData>
    <row r="1" spans="1:18" s="4" customFormat="1" ht="40.5" customHeight="1" thickBot="1" x14ac:dyDescent="0.25">
      <c r="A1" s="87" t="s">
        <v>336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50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82" customFormat="1" ht="25.5" customHeight="1" x14ac:dyDescent="0.2">
      <c r="A3" s="89">
        <v>1</v>
      </c>
      <c r="B3" s="89">
        <v>1</v>
      </c>
      <c r="C3" s="90" t="s">
        <v>330</v>
      </c>
      <c r="D3" s="91">
        <v>129011.29</v>
      </c>
      <c r="E3" s="91">
        <v>160434.76</v>
      </c>
      <c r="F3" s="92">
        <f>(D3-E3)/E3</f>
        <v>-0.19586447475596944</v>
      </c>
      <c r="G3" s="93">
        <v>23458</v>
      </c>
      <c r="H3" s="89">
        <v>532</v>
      </c>
      <c r="I3" s="89">
        <f>G3/H3</f>
        <v>44.093984962406012</v>
      </c>
      <c r="J3" s="94">
        <v>32</v>
      </c>
      <c r="K3" s="89">
        <v>2</v>
      </c>
      <c r="L3" s="91">
        <v>289446.05</v>
      </c>
      <c r="M3" s="93">
        <v>52347</v>
      </c>
      <c r="N3" s="95">
        <v>45212</v>
      </c>
      <c r="O3" s="96" t="s">
        <v>179</v>
      </c>
    </row>
    <row r="4" spans="1:18" s="102" customFormat="1" ht="25.5" customHeight="1" x14ac:dyDescent="0.2">
      <c r="A4" s="22">
        <v>2</v>
      </c>
      <c r="B4" s="89" t="s">
        <v>31</v>
      </c>
      <c r="C4" s="18" t="s">
        <v>341</v>
      </c>
      <c r="D4" s="19">
        <v>82122.69</v>
      </c>
      <c r="E4" s="19" t="s">
        <v>18</v>
      </c>
      <c r="F4" s="20" t="s">
        <v>18</v>
      </c>
      <c r="G4" s="21">
        <v>11346</v>
      </c>
      <c r="H4" s="22">
        <v>243</v>
      </c>
      <c r="I4" s="22">
        <f>G4/H4</f>
        <v>46.691358024691361</v>
      </c>
      <c r="J4" s="94">
        <v>20</v>
      </c>
      <c r="K4" s="22">
        <v>1</v>
      </c>
      <c r="L4" s="19">
        <v>82122.69</v>
      </c>
      <c r="M4" s="21">
        <v>11346</v>
      </c>
      <c r="N4" s="23">
        <v>45219</v>
      </c>
      <c r="O4" s="30" t="s">
        <v>180</v>
      </c>
    </row>
    <row r="5" spans="1:18" s="102" customFormat="1" ht="25.5" customHeight="1" x14ac:dyDescent="0.2">
      <c r="A5" s="89">
        <v>3</v>
      </c>
      <c r="B5" s="89" t="s">
        <v>31</v>
      </c>
      <c r="C5" s="7" t="s">
        <v>344</v>
      </c>
      <c r="D5" s="8">
        <v>27957.8</v>
      </c>
      <c r="E5" s="19" t="s">
        <v>18</v>
      </c>
      <c r="F5" s="20" t="s">
        <v>18</v>
      </c>
      <c r="G5" s="10">
        <v>4536</v>
      </c>
      <c r="H5" s="11">
        <v>99</v>
      </c>
      <c r="I5" s="11">
        <f>G5/H5</f>
        <v>45.81818181818182</v>
      </c>
      <c r="J5" s="94">
        <v>14</v>
      </c>
      <c r="K5" s="11">
        <v>1</v>
      </c>
      <c r="L5" s="19">
        <v>27957.8</v>
      </c>
      <c r="M5" s="21">
        <v>4536</v>
      </c>
      <c r="N5" s="12">
        <v>45219</v>
      </c>
      <c r="O5" s="31" t="s">
        <v>345</v>
      </c>
      <c r="R5" s="103"/>
    </row>
    <row r="6" spans="1:18" s="102" customFormat="1" ht="25.5" customHeight="1" x14ac:dyDescent="0.2">
      <c r="A6" s="22">
        <v>4</v>
      </c>
      <c r="B6" s="89">
        <v>2</v>
      </c>
      <c r="C6" s="90" t="s">
        <v>309</v>
      </c>
      <c r="D6" s="91">
        <v>26834.61</v>
      </c>
      <c r="E6" s="91">
        <v>40077.839999999997</v>
      </c>
      <c r="F6" s="92">
        <f>(D6-E6)/E6</f>
        <v>-0.33043771820038198</v>
      </c>
      <c r="G6" s="93">
        <v>3749</v>
      </c>
      <c r="H6" s="89" t="s">
        <v>18</v>
      </c>
      <c r="I6" s="89" t="s">
        <v>18</v>
      </c>
      <c r="J6" s="94">
        <v>10</v>
      </c>
      <c r="K6" s="89">
        <v>4</v>
      </c>
      <c r="L6" s="91">
        <v>223375.65000000002</v>
      </c>
      <c r="M6" s="93">
        <v>31513</v>
      </c>
      <c r="N6" s="95">
        <v>45198</v>
      </c>
      <c r="O6" s="96" t="s">
        <v>310</v>
      </c>
      <c r="R6" s="103"/>
    </row>
    <row r="7" spans="1:18" s="102" customFormat="1" ht="25.5" customHeight="1" x14ac:dyDescent="0.2">
      <c r="A7" s="89">
        <v>5</v>
      </c>
      <c r="B7" s="89">
        <v>4</v>
      </c>
      <c r="C7" s="90" t="s">
        <v>318</v>
      </c>
      <c r="D7" s="91">
        <v>21902.9</v>
      </c>
      <c r="E7" s="91">
        <v>28491.64</v>
      </c>
      <c r="F7" s="92">
        <f>(D7-E7)/E7</f>
        <v>-0.23125169347920999</v>
      </c>
      <c r="G7" s="93">
        <v>2896</v>
      </c>
      <c r="H7" s="89">
        <v>83</v>
      </c>
      <c r="I7" s="89">
        <f>G7/H7</f>
        <v>34.891566265060241</v>
      </c>
      <c r="J7" s="94">
        <v>10</v>
      </c>
      <c r="K7" s="89">
        <v>3</v>
      </c>
      <c r="L7" s="91">
        <v>100912.92</v>
      </c>
      <c r="M7" s="93">
        <v>14990</v>
      </c>
      <c r="N7" s="95">
        <v>45205</v>
      </c>
      <c r="O7" s="96" t="s">
        <v>179</v>
      </c>
      <c r="R7" s="103"/>
    </row>
    <row r="8" spans="1:18" s="102" customFormat="1" ht="25.5" customHeight="1" x14ac:dyDescent="0.2">
      <c r="A8" s="22">
        <v>6</v>
      </c>
      <c r="B8" s="89">
        <v>3</v>
      </c>
      <c r="C8" s="90" t="s">
        <v>319</v>
      </c>
      <c r="D8" s="91">
        <v>16554.03</v>
      </c>
      <c r="E8" s="91">
        <v>30316.03</v>
      </c>
      <c r="F8" s="92">
        <f>(D8-E8)/E8</f>
        <v>-0.45395125944920889</v>
      </c>
      <c r="G8" s="93">
        <v>2358</v>
      </c>
      <c r="H8" s="89">
        <v>107</v>
      </c>
      <c r="I8" s="89">
        <f>G8/H8</f>
        <v>22.037383177570092</v>
      </c>
      <c r="J8" s="94">
        <v>8</v>
      </c>
      <c r="K8" s="89">
        <v>3</v>
      </c>
      <c r="L8" s="91">
        <v>103541.58</v>
      </c>
      <c r="M8" s="93">
        <v>15604</v>
      </c>
      <c r="N8" s="95">
        <v>45205</v>
      </c>
      <c r="O8" s="96" t="s">
        <v>40</v>
      </c>
      <c r="R8" s="103"/>
    </row>
    <row r="9" spans="1:18" s="102" customFormat="1" ht="25.5" customHeight="1" x14ac:dyDescent="0.2">
      <c r="A9" s="89">
        <v>7</v>
      </c>
      <c r="B9" s="22" t="s">
        <v>31</v>
      </c>
      <c r="C9" s="7" t="s">
        <v>338</v>
      </c>
      <c r="D9" s="8">
        <v>15540</v>
      </c>
      <c r="E9" s="91" t="s">
        <v>18</v>
      </c>
      <c r="F9" s="92" t="s">
        <v>18</v>
      </c>
      <c r="G9" s="10">
        <v>2356</v>
      </c>
      <c r="H9" s="11">
        <v>126</v>
      </c>
      <c r="I9" s="11">
        <f>G9/H9</f>
        <v>18.698412698412699</v>
      </c>
      <c r="J9" s="94">
        <v>12</v>
      </c>
      <c r="K9" s="11">
        <v>1</v>
      </c>
      <c r="L9" s="19">
        <v>15540</v>
      </c>
      <c r="M9" s="21">
        <v>2356</v>
      </c>
      <c r="N9" s="12">
        <v>45219</v>
      </c>
      <c r="O9" s="31" t="s">
        <v>339</v>
      </c>
      <c r="R9" s="103"/>
    </row>
    <row r="10" spans="1:18" s="102" customFormat="1" ht="25.5" customHeight="1" x14ac:dyDescent="0.2">
      <c r="A10" s="22">
        <v>8</v>
      </c>
      <c r="B10" s="89">
        <v>5</v>
      </c>
      <c r="C10" s="90" t="s">
        <v>296</v>
      </c>
      <c r="D10" s="91">
        <v>14549.7</v>
      </c>
      <c r="E10" s="91">
        <v>22158.769999999899</v>
      </c>
      <c r="F10" s="92">
        <f>(D10-E10)/E10</f>
        <v>-0.34338864476683195</v>
      </c>
      <c r="G10" s="93">
        <v>2182</v>
      </c>
      <c r="H10" s="89">
        <v>72</v>
      </c>
      <c r="I10" s="89">
        <f>G10/H10</f>
        <v>30.305555555555557</v>
      </c>
      <c r="J10" s="94">
        <v>12</v>
      </c>
      <c r="K10" s="89">
        <v>5</v>
      </c>
      <c r="L10" s="91">
        <v>172245.11</v>
      </c>
      <c r="M10" s="93">
        <v>26604</v>
      </c>
      <c r="N10" s="95">
        <v>45191</v>
      </c>
      <c r="O10" s="96" t="s">
        <v>68</v>
      </c>
      <c r="R10" s="103"/>
    </row>
    <row r="11" spans="1:18" s="102" customFormat="1" ht="25.5" customHeight="1" x14ac:dyDescent="0.2">
      <c r="A11" s="89">
        <v>9</v>
      </c>
      <c r="B11" s="89">
        <v>7</v>
      </c>
      <c r="C11" s="90" t="s">
        <v>317</v>
      </c>
      <c r="D11" s="91">
        <v>14054.23</v>
      </c>
      <c r="E11" s="91">
        <v>16251.15</v>
      </c>
      <c r="F11" s="92">
        <f>(D11-E11)/E11</f>
        <v>-0.13518550994852674</v>
      </c>
      <c r="G11" s="93">
        <v>1897</v>
      </c>
      <c r="H11" s="89">
        <v>51</v>
      </c>
      <c r="I11" s="89">
        <f>G11/H11</f>
        <v>37.196078431372548</v>
      </c>
      <c r="J11" s="94">
        <v>8</v>
      </c>
      <c r="K11" s="89">
        <v>4</v>
      </c>
      <c r="L11" s="91">
        <v>117237.57</v>
      </c>
      <c r="M11" s="93">
        <v>17066</v>
      </c>
      <c r="N11" s="95">
        <v>45198</v>
      </c>
      <c r="O11" s="96" t="s">
        <v>13</v>
      </c>
      <c r="R11" s="103"/>
    </row>
    <row r="12" spans="1:18" s="102" customFormat="1" ht="25.5" customHeight="1" x14ac:dyDescent="0.2">
      <c r="A12" s="22">
        <v>10</v>
      </c>
      <c r="B12" s="89" t="s">
        <v>57</v>
      </c>
      <c r="C12" s="18" t="s">
        <v>342</v>
      </c>
      <c r="D12" s="19">
        <v>10260.39</v>
      </c>
      <c r="E12" s="19" t="s">
        <v>18</v>
      </c>
      <c r="F12" s="20" t="s">
        <v>18</v>
      </c>
      <c r="G12" s="21">
        <v>1530</v>
      </c>
      <c r="H12" s="22">
        <v>10</v>
      </c>
      <c r="I12" s="22">
        <f>G12/H12</f>
        <v>153</v>
      </c>
      <c r="J12" s="94">
        <v>5</v>
      </c>
      <c r="K12" s="22">
        <v>0</v>
      </c>
      <c r="L12" s="19">
        <v>10260.39</v>
      </c>
      <c r="M12" s="21">
        <v>1530</v>
      </c>
      <c r="N12" s="23" t="s">
        <v>59</v>
      </c>
      <c r="O12" s="30" t="s">
        <v>179</v>
      </c>
      <c r="R12" s="103"/>
    </row>
    <row r="13" spans="1:18" s="98" customFormat="1" ht="25.5" customHeight="1" x14ac:dyDescent="0.15">
      <c r="A13" s="89">
        <v>11</v>
      </c>
      <c r="B13" s="89">
        <v>6</v>
      </c>
      <c r="C13" s="90" t="s">
        <v>324</v>
      </c>
      <c r="D13" s="91">
        <v>8026.1</v>
      </c>
      <c r="E13" s="91">
        <v>18071.66</v>
      </c>
      <c r="F13" s="92">
        <f>(D13-E13)/E13</f>
        <v>-0.55587367181542813</v>
      </c>
      <c r="G13" s="93">
        <v>1193</v>
      </c>
      <c r="H13" s="89">
        <v>52</v>
      </c>
      <c r="I13" s="89">
        <f>G13/H13</f>
        <v>22.942307692307693</v>
      </c>
      <c r="J13" s="94">
        <v>9</v>
      </c>
      <c r="K13" s="89">
        <v>2</v>
      </c>
      <c r="L13" s="91">
        <v>27313.9</v>
      </c>
      <c r="M13" s="93">
        <v>4025</v>
      </c>
      <c r="N13" s="95">
        <v>45212</v>
      </c>
      <c r="O13" s="96" t="s">
        <v>13</v>
      </c>
    </row>
    <row r="14" spans="1:18" s="98" customFormat="1" ht="25.5" customHeight="1" x14ac:dyDescent="0.15">
      <c r="A14" s="22">
        <v>12</v>
      </c>
      <c r="B14" s="89">
        <v>9</v>
      </c>
      <c r="C14" s="90" t="s">
        <v>305</v>
      </c>
      <c r="D14" s="91">
        <v>6141.2</v>
      </c>
      <c r="E14" s="91">
        <v>8296.18</v>
      </c>
      <c r="F14" s="92">
        <f>(D14-E14)/E14</f>
        <v>-0.25975569478965022</v>
      </c>
      <c r="G14" s="93">
        <v>1176</v>
      </c>
      <c r="H14" s="89">
        <v>23</v>
      </c>
      <c r="I14" s="89">
        <f>G14/H14</f>
        <v>51.130434782608695</v>
      </c>
      <c r="J14" s="94">
        <v>12</v>
      </c>
      <c r="K14" s="89">
        <v>4</v>
      </c>
      <c r="L14" s="91">
        <v>60550.89</v>
      </c>
      <c r="M14" s="93">
        <v>11382</v>
      </c>
      <c r="N14" s="95">
        <v>45198</v>
      </c>
      <c r="O14" s="96" t="s">
        <v>13</v>
      </c>
    </row>
    <row r="15" spans="1:18" s="98" customFormat="1" ht="25.5" customHeight="1" x14ac:dyDescent="0.2">
      <c r="A15" s="89">
        <v>13</v>
      </c>
      <c r="B15" s="89">
        <v>10</v>
      </c>
      <c r="C15" s="90" t="s">
        <v>222</v>
      </c>
      <c r="D15" s="91">
        <v>5071.87</v>
      </c>
      <c r="E15" s="91">
        <v>6189.79</v>
      </c>
      <c r="F15" s="92">
        <f>(D15-E15)/E15</f>
        <v>-0.18060709652508405</v>
      </c>
      <c r="G15" s="93">
        <v>686</v>
      </c>
      <c r="H15" s="89">
        <v>17</v>
      </c>
      <c r="I15" s="89">
        <f>G15/H15</f>
        <v>40.352941176470587</v>
      </c>
      <c r="J15" s="94">
        <v>4</v>
      </c>
      <c r="K15" s="89">
        <v>14</v>
      </c>
      <c r="L15" s="91">
        <v>1087394.26</v>
      </c>
      <c r="M15" s="93">
        <v>152997</v>
      </c>
      <c r="N15" s="95">
        <v>45128</v>
      </c>
      <c r="O15" s="96" t="s">
        <v>179</v>
      </c>
      <c r="P15" s="97"/>
    </row>
    <row r="16" spans="1:18" s="98" customFormat="1" ht="25.5" customHeight="1" x14ac:dyDescent="0.2">
      <c r="A16" s="22">
        <v>14</v>
      </c>
      <c r="B16" s="89">
        <v>8</v>
      </c>
      <c r="C16" s="90" t="s">
        <v>291</v>
      </c>
      <c r="D16" s="99">
        <v>4400.88</v>
      </c>
      <c r="E16" s="91">
        <v>10424.1</v>
      </c>
      <c r="F16" s="92">
        <f>(D16-E16)/E16</f>
        <v>-0.57781678993869978</v>
      </c>
      <c r="G16" s="100">
        <v>876</v>
      </c>
      <c r="H16" s="89">
        <v>29</v>
      </c>
      <c r="I16" s="89">
        <f>G16/H16</f>
        <v>30.206896551724139</v>
      </c>
      <c r="J16" s="94">
        <v>10</v>
      </c>
      <c r="K16" s="101">
        <v>6</v>
      </c>
      <c r="L16" s="99">
        <v>151154.07999999999</v>
      </c>
      <c r="M16" s="100">
        <v>29157</v>
      </c>
      <c r="N16" s="95">
        <v>45184</v>
      </c>
      <c r="O16" s="96" t="s">
        <v>13</v>
      </c>
      <c r="P16" s="97"/>
    </row>
    <row r="17" spans="1:16" s="98" customFormat="1" ht="25.5" customHeight="1" x14ac:dyDescent="0.2">
      <c r="A17" s="89">
        <v>15</v>
      </c>
      <c r="B17" s="89" t="s">
        <v>31</v>
      </c>
      <c r="C17" s="90" t="s">
        <v>334</v>
      </c>
      <c r="D17" s="91">
        <v>3721.6</v>
      </c>
      <c r="E17" s="91" t="s">
        <v>18</v>
      </c>
      <c r="F17" s="92" t="s">
        <v>18</v>
      </c>
      <c r="G17" s="93">
        <v>607</v>
      </c>
      <c r="H17" s="89">
        <v>11</v>
      </c>
      <c r="I17" s="89">
        <f>G17/H17</f>
        <v>55.18181818181818</v>
      </c>
      <c r="J17" s="94">
        <v>5</v>
      </c>
      <c r="K17" s="89">
        <v>1</v>
      </c>
      <c r="L17" s="91">
        <v>4155.7</v>
      </c>
      <c r="M17" s="93">
        <v>719</v>
      </c>
      <c r="N17" s="95">
        <v>45219</v>
      </c>
      <c r="O17" s="96" t="s">
        <v>335</v>
      </c>
      <c r="P17" s="97"/>
    </row>
    <row r="18" spans="1:16" s="98" customFormat="1" ht="25.5" customHeight="1" x14ac:dyDescent="0.2">
      <c r="A18" s="22">
        <v>16</v>
      </c>
      <c r="B18" s="89">
        <v>23</v>
      </c>
      <c r="C18" s="90" t="s">
        <v>181</v>
      </c>
      <c r="D18" s="91">
        <v>2770.77</v>
      </c>
      <c r="E18" s="91">
        <v>1750.65</v>
      </c>
      <c r="F18" s="92">
        <f>(D18-E18)/E18</f>
        <v>0.58270927941050454</v>
      </c>
      <c r="G18" s="93">
        <v>509</v>
      </c>
      <c r="H18" s="89">
        <v>12</v>
      </c>
      <c r="I18" s="89">
        <f>G18/H18</f>
        <v>42.416666666666664</v>
      </c>
      <c r="J18" s="94">
        <v>3</v>
      </c>
      <c r="K18" s="89">
        <v>19</v>
      </c>
      <c r="L18" s="91">
        <v>514630.37</v>
      </c>
      <c r="M18" s="93">
        <v>101348</v>
      </c>
      <c r="N18" s="95">
        <v>45093</v>
      </c>
      <c r="O18" s="96" t="s">
        <v>40</v>
      </c>
      <c r="P18" s="97"/>
    </row>
    <row r="19" spans="1:16" s="98" customFormat="1" ht="25.5" customHeight="1" x14ac:dyDescent="0.2">
      <c r="A19" s="89">
        <v>17</v>
      </c>
      <c r="B19" s="89">
        <v>13</v>
      </c>
      <c r="C19" s="90" t="s">
        <v>304</v>
      </c>
      <c r="D19" s="91">
        <v>2088.3000000000002</v>
      </c>
      <c r="E19" s="91">
        <v>4094.3</v>
      </c>
      <c r="F19" s="92">
        <f>(D19-E19)/E19</f>
        <v>-0.48994944190704148</v>
      </c>
      <c r="G19" s="93">
        <v>373</v>
      </c>
      <c r="H19" s="89">
        <v>7</v>
      </c>
      <c r="I19" s="89">
        <f>G19/H19</f>
        <v>53.285714285714285</v>
      </c>
      <c r="J19" s="94">
        <v>3</v>
      </c>
      <c r="K19" s="89">
        <v>4</v>
      </c>
      <c r="L19" s="91">
        <v>27950.7</v>
      </c>
      <c r="M19" s="93">
        <v>4377</v>
      </c>
      <c r="N19" s="95">
        <v>45198</v>
      </c>
      <c r="O19" s="96" t="s">
        <v>16</v>
      </c>
      <c r="P19" s="97"/>
    </row>
    <row r="20" spans="1:16" s="98" customFormat="1" ht="25.5" customHeight="1" x14ac:dyDescent="0.2">
      <c r="A20" s="22">
        <v>18</v>
      </c>
      <c r="B20" s="89">
        <v>14</v>
      </c>
      <c r="C20" s="90" t="s">
        <v>323</v>
      </c>
      <c r="D20" s="91">
        <v>1843.3</v>
      </c>
      <c r="E20" s="91">
        <v>4045.82</v>
      </c>
      <c r="F20" s="92">
        <f>(D20-E20)/E20</f>
        <v>-0.54439396710679178</v>
      </c>
      <c r="G20" s="93">
        <v>324</v>
      </c>
      <c r="H20" s="89">
        <v>90</v>
      </c>
      <c r="I20" s="89">
        <f>G20/H20</f>
        <v>3.6</v>
      </c>
      <c r="J20" s="94">
        <v>7</v>
      </c>
      <c r="K20" s="89">
        <v>3</v>
      </c>
      <c r="L20" s="91">
        <v>18639.169999999998</v>
      </c>
      <c r="M20" s="93">
        <v>3351</v>
      </c>
      <c r="N20" s="95">
        <v>45205</v>
      </c>
      <c r="O20" s="96" t="s">
        <v>13</v>
      </c>
      <c r="P20" s="97"/>
    </row>
    <row r="21" spans="1:16" s="98" customFormat="1" ht="25.5" customHeight="1" x14ac:dyDescent="0.2">
      <c r="A21" s="89">
        <v>19</v>
      </c>
      <c r="B21" s="89" t="s">
        <v>57</v>
      </c>
      <c r="C21" s="7" t="s">
        <v>343</v>
      </c>
      <c r="D21" s="8">
        <v>1837.51</v>
      </c>
      <c r="E21" s="19" t="s">
        <v>18</v>
      </c>
      <c r="F21" s="20" t="s">
        <v>18</v>
      </c>
      <c r="G21" s="10">
        <v>331</v>
      </c>
      <c r="H21" s="11">
        <v>6</v>
      </c>
      <c r="I21" s="11">
        <f>G21/H21</f>
        <v>55.166666666666664</v>
      </c>
      <c r="J21" s="94">
        <v>5</v>
      </c>
      <c r="K21" s="11">
        <v>0</v>
      </c>
      <c r="L21" s="19">
        <v>1837.51</v>
      </c>
      <c r="M21" s="21">
        <v>331</v>
      </c>
      <c r="N21" s="23" t="s">
        <v>59</v>
      </c>
      <c r="O21" s="30" t="s">
        <v>180</v>
      </c>
      <c r="P21" s="97"/>
    </row>
    <row r="22" spans="1:16" s="98" customFormat="1" ht="25.5" customHeight="1" x14ac:dyDescent="0.2">
      <c r="A22" s="22">
        <v>20</v>
      </c>
      <c r="B22" s="89">
        <v>17</v>
      </c>
      <c r="C22" s="90" t="s">
        <v>332</v>
      </c>
      <c r="D22" s="91">
        <v>1375.1399999999999</v>
      </c>
      <c r="E22" s="91">
        <v>2515.1200000000003</v>
      </c>
      <c r="F22" s="92">
        <f>(D22-E22)/E22</f>
        <v>-0.4532507395273388</v>
      </c>
      <c r="G22" s="93">
        <v>206</v>
      </c>
      <c r="H22" s="89">
        <v>7</v>
      </c>
      <c r="I22" s="89">
        <f>G22/H22</f>
        <v>29.428571428571427</v>
      </c>
      <c r="J22" s="94">
        <v>1</v>
      </c>
      <c r="K22" s="89">
        <v>2</v>
      </c>
      <c r="L22" s="91">
        <v>3890.26</v>
      </c>
      <c r="M22" s="93">
        <v>573</v>
      </c>
      <c r="N22" s="95">
        <v>45213</v>
      </c>
      <c r="O22" s="96" t="s">
        <v>333</v>
      </c>
      <c r="P22" s="97"/>
    </row>
    <row r="23" spans="1:16" s="98" customFormat="1" ht="25.5" customHeight="1" x14ac:dyDescent="0.2">
      <c r="A23" s="89">
        <v>21</v>
      </c>
      <c r="B23" s="89">
        <v>11</v>
      </c>
      <c r="C23" s="90" t="s">
        <v>331</v>
      </c>
      <c r="D23" s="91">
        <v>1122</v>
      </c>
      <c r="E23" s="91">
        <v>5508</v>
      </c>
      <c r="F23" s="92">
        <f>(D23-E23)/E23</f>
        <v>-0.79629629629629628</v>
      </c>
      <c r="G23" s="93">
        <v>190</v>
      </c>
      <c r="H23" s="92" t="s">
        <v>18</v>
      </c>
      <c r="I23" s="92" t="s">
        <v>18</v>
      </c>
      <c r="J23" s="94">
        <v>3</v>
      </c>
      <c r="K23" s="89">
        <v>2</v>
      </c>
      <c r="L23" s="91">
        <v>6630</v>
      </c>
      <c r="M23" s="93">
        <v>1068</v>
      </c>
      <c r="N23" s="95">
        <v>45212</v>
      </c>
      <c r="O23" s="96" t="s">
        <v>15</v>
      </c>
      <c r="P23" s="97"/>
    </row>
    <row r="24" spans="1:16" s="98" customFormat="1" ht="25.5" customHeight="1" x14ac:dyDescent="0.2">
      <c r="A24" s="22">
        <v>22</v>
      </c>
      <c r="B24" s="89">
        <v>16</v>
      </c>
      <c r="C24" s="90" t="s">
        <v>314</v>
      </c>
      <c r="D24" s="91">
        <v>1100.2</v>
      </c>
      <c r="E24" s="91">
        <v>2657.92</v>
      </c>
      <c r="F24" s="92">
        <f>(D24-E24)/E24</f>
        <v>-0.58606730074644831</v>
      </c>
      <c r="G24" s="93">
        <v>204</v>
      </c>
      <c r="H24" s="89">
        <v>6</v>
      </c>
      <c r="I24" s="89">
        <f>G24/H24</f>
        <v>34</v>
      </c>
      <c r="J24" s="94">
        <v>5</v>
      </c>
      <c r="K24" s="89">
        <v>4</v>
      </c>
      <c r="L24" s="91">
        <v>17375.5</v>
      </c>
      <c r="M24" s="93">
        <v>2870</v>
      </c>
      <c r="N24" s="95">
        <v>45198</v>
      </c>
      <c r="O24" s="96" t="s">
        <v>315</v>
      </c>
      <c r="P24" s="97"/>
    </row>
    <row r="25" spans="1:16" s="98" customFormat="1" ht="25.5" customHeight="1" x14ac:dyDescent="0.2">
      <c r="A25" s="89">
        <v>23</v>
      </c>
      <c r="B25" s="89">
        <v>20</v>
      </c>
      <c r="C25" s="90" t="s">
        <v>292</v>
      </c>
      <c r="D25" s="91">
        <v>936.34</v>
      </c>
      <c r="E25" s="91">
        <v>1860.14</v>
      </c>
      <c r="F25" s="92">
        <f>(D25-E25)/E25</f>
        <v>-0.49662928596772288</v>
      </c>
      <c r="G25" s="93">
        <v>123</v>
      </c>
      <c r="H25" s="89">
        <v>7</v>
      </c>
      <c r="I25" s="89">
        <f>G25/H25</f>
        <v>17.571428571428573</v>
      </c>
      <c r="J25" s="94">
        <v>1</v>
      </c>
      <c r="K25" s="89">
        <v>6</v>
      </c>
      <c r="L25" s="91">
        <v>72114.17</v>
      </c>
      <c r="M25" s="93">
        <v>10984</v>
      </c>
      <c r="N25" s="95">
        <v>45184</v>
      </c>
      <c r="O25" s="96" t="s">
        <v>40</v>
      </c>
      <c r="P25" s="97"/>
    </row>
    <row r="26" spans="1:16" s="98" customFormat="1" ht="25.5" customHeight="1" x14ac:dyDescent="0.2">
      <c r="A26" s="22">
        <v>24</v>
      </c>
      <c r="B26" s="89">
        <v>22</v>
      </c>
      <c r="C26" s="90" t="s">
        <v>213</v>
      </c>
      <c r="D26" s="91">
        <v>817.32</v>
      </c>
      <c r="E26" s="91">
        <v>1757.54</v>
      </c>
      <c r="F26" s="92">
        <f>(D26-E26)/E26</f>
        <v>-0.53496364236375837</v>
      </c>
      <c r="G26" s="93">
        <v>111</v>
      </c>
      <c r="H26" s="89">
        <v>1</v>
      </c>
      <c r="I26" s="89">
        <f>G26/H26</f>
        <v>111</v>
      </c>
      <c r="J26" s="94">
        <v>1</v>
      </c>
      <c r="K26" s="89">
        <v>14</v>
      </c>
      <c r="L26" s="91">
        <v>1160327.43</v>
      </c>
      <c r="M26" s="93">
        <v>176540</v>
      </c>
      <c r="N26" s="95">
        <v>45128</v>
      </c>
      <c r="O26" s="96" t="s">
        <v>14</v>
      </c>
      <c r="P26" s="97"/>
    </row>
    <row r="27" spans="1:16" s="98" customFormat="1" ht="25.5" customHeight="1" x14ac:dyDescent="0.2">
      <c r="A27" s="89">
        <v>25</v>
      </c>
      <c r="B27" s="89">
        <v>19</v>
      </c>
      <c r="C27" s="90" t="s">
        <v>322</v>
      </c>
      <c r="D27" s="91">
        <v>632.5</v>
      </c>
      <c r="E27" s="91">
        <v>2124.7199999999998</v>
      </c>
      <c r="F27" s="92">
        <f>(D27-E27)/E27</f>
        <v>-0.70231371663089726</v>
      </c>
      <c r="G27" s="93">
        <v>96</v>
      </c>
      <c r="H27" s="89">
        <v>2</v>
      </c>
      <c r="I27" s="89">
        <f>G27/H27</f>
        <v>48</v>
      </c>
      <c r="J27" s="94">
        <v>1</v>
      </c>
      <c r="K27" s="89">
        <v>3</v>
      </c>
      <c r="L27" s="91">
        <v>9796.9699999999993</v>
      </c>
      <c r="M27" s="93">
        <v>1278</v>
      </c>
      <c r="N27" s="95">
        <v>45205</v>
      </c>
      <c r="O27" s="96" t="s">
        <v>276</v>
      </c>
      <c r="P27" s="97"/>
    </row>
    <row r="28" spans="1:16" s="98" customFormat="1" ht="25.5" customHeight="1" x14ac:dyDescent="0.2">
      <c r="A28" s="22">
        <v>26</v>
      </c>
      <c r="B28" s="92" t="s">
        <v>18</v>
      </c>
      <c r="C28" s="18" t="s">
        <v>116</v>
      </c>
      <c r="D28" s="19">
        <v>630.78999999999985</v>
      </c>
      <c r="E28" s="19" t="s">
        <v>18</v>
      </c>
      <c r="F28" s="20" t="s">
        <v>18</v>
      </c>
      <c r="G28" s="21">
        <v>205</v>
      </c>
      <c r="H28" s="22">
        <v>5</v>
      </c>
      <c r="I28" s="11">
        <f>G28/H28</f>
        <v>41</v>
      </c>
      <c r="J28" s="94">
        <v>3</v>
      </c>
      <c r="K28" s="20" t="s">
        <v>18</v>
      </c>
      <c r="L28" s="19">
        <v>26365.210000000003</v>
      </c>
      <c r="M28" s="21">
        <v>6365</v>
      </c>
      <c r="N28" s="23">
        <v>45051</v>
      </c>
      <c r="O28" s="30" t="s">
        <v>117</v>
      </c>
      <c r="P28" s="97"/>
    </row>
    <row r="29" spans="1:16" s="98" customFormat="1" ht="25.5" customHeight="1" x14ac:dyDescent="0.2">
      <c r="A29" s="89">
        <v>27</v>
      </c>
      <c r="B29" s="89">
        <v>24</v>
      </c>
      <c r="C29" s="90" t="s">
        <v>274</v>
      </c>
      <c r="D29" s="91">
        <v>564.17999999999995</v>
      </c>
      <c r="E29" s="91">
        <v>1335.32</v>
      </c>
      <c r="F29" s="92">
        <f>(D29-E29)/E29</f>
        <v>-0.57749453314561305</v>
      </c>
      <c r="G29" s="93">
        <v>108</v>
      </c>
      <c r="H29" s="89">
        <v>7</v>
      </c>
      <c r="I29" s="89">
        <f>G29/H29</f>
        <v>15.428571428571429</v>
      </c>
      <c r="J29" s="94">
        <v>3</v>
      </c>
      <c r="K29" s="89">
        <v>9</v>
      </c>
      <c r="L29" s="91">
        <v>124148.43</v>
      </c>
      <c r="M29" s="93">
        <v>24959</v>
      </c>
      <c r="N29" s="95">
        <v>45163</v>
      </c>
      <c r="O29" s="96" t="s">
        <v>16</v>
      </c>
      <c r="P29" s="97"/>
    </row>
    <row r="30" spans="1:16" s="98" customFormat="1" ht="25.5" customHeight="1" x14ac:dyDescent="0.2">
      <c r="A30" s="22">
        <v>28</v>
      </c>
      <c r="B30" s="89">
        <v>15</v>
      </c>
      <c r="C30" s="90" t="s">
        <v>321</v>
      </c>
      <c r="D30" s="91">
        <v>460</v>
      </c>
      <c r="E30" s="91">
        <v>2954.96</v>
      </c>
      <c r="F30" s="92">
        <f>(D30-E30)/E30</f>
        <v>-0.84432953407152722</v>
      </c>
      <c r="G30" s="93">
        <v>98</v>
      </c>
      <c r="H30" s="89">
        <v>11</v>
      </c>
      <c r="I30" s="89">
        <f>G30/H30</f>
        <v>8.9090909090909083</v>
      </c>
      <c r="J30" s="94">
        <v>3</v>
      </c>
      <c r="K30" s="89">
        <v>3</v>
      </c>
      <c r="L30" s="91">
        <v>9952.5999999999985</v>
      </c>
      <c r="M30" s="93">
        <v>1849</v>
      </c>
      <c r="N30" s="95">
        <v>45205</v>
      </c>
      <c r="O30" s="96" t="s">
        <v>48</v>
      </c>
      <c r="P30" s="97"/>
    </row>
    <row r="31" spans="1:16" s="27" customFormat="1" ht="25.5" customHeight="1" x14ac:dyDescent="0.2">
      <c r="A31" s="89">
        <v>29</v>
      </c>
      <c r="B31" s="89">
        <v>21</v>
      </c>
      <c r="C31" s="90" t="s">
        <v>283</v>
      </c>
      <c r="D31" s="91">
        <v>445.9</v>
      </c>
      <c r="E31" s="91">
        <v>1828.8</v>
      </c>
      <c r="F31" s="92">
        <f>(D31-E31)/E31</f>
        <v>-0.75617891513560809</v>
      </c>
      <c r="G31" s="93">
        <v>61</v>
      </c>
      <c r="H31" s="89">
        <v>2</v>
      </c>
      <c r="I31" s="89">
        <f>G31/H31</f>
        <v>30.5</v>
      </c>
      <c r="J31" s="94">
        <v>1</v>
      </c>
      <c r="K31" s="89">
        <v>7</v>
      </c>
      <c r="L31" s="91">
        <v>225517.88</v>
      </c>
      <c r="M31" s="93">
        <v>30912</v>
      </c>
      <c r="N31" s="95">
        <v>45177</v>
      </c>
      <c r="O31" s="96" t="s">
        <v>14</v>
      </c>
      <c r="P31" s="77"/>
    </row>
    <row r="32" spans="1:16" s="27" customFormat="1" ht="25.5" customHeight="1" x14ac:dyDescent="0.2">
      <c r="A32" s="22">
        <v>30</v>
      </c>
      <c r="B32" s="92" t="s">
        <v>18</v>
      </c>
      <c r="C32" s="18" t="s">
        <v>42</v>
      </c>
      <c r="D32" s="19">
        <v>340.97</v>
      </c>
      <c r="E32" s="91" t="s">
        <v>18</v>
      </c>
      <c r="F32" s="92" t="s">
        <v>18</v>
      </c>
      <c r="G32" s="21">
        <v>101</v>
      </c>
      <c r="H32" s="22">
        <v>6</v>
      </c>
      <c r="I32" s="22">
        <f>G32/H32</f>
        <v>16.833333333333332</v>
      </c>
      <c r="J32" s="94">
        <v>2</v>
      </c>
      <c r="K32" s="20" t="s">
        <v>18</v>
      </c>
      <c r="L32" s="19">
        <v>326395.37</v>
      </c>
      <c r="M32" s="21">
        <v>64796</v>
      </c>
      <c r="N32" s="23">
        <v>44960</v>
      </c>
      <c r="O32" s="30" t="s">
        <v>14</v>
      </c>
      <c r="P32" s="77"/>
    </row>
    <row r="33" spans="1:16" s="27" customFormat="1" ht="25.5" customHeight="1" x14ac:dyDescent="0.2">
      <c r="A33" s="89">
        <v>31</v>
      </c>
      <c r="B33" s="89">
        <v>18</v>
      </c>
      <c r="C33" s="90" t="s">
        <v>302</v>
      </c>
      <c r="D33" s="91">
        <v>277</v>
      </c>
      <c r="E33" s="91">
        <v>2325</v>
      </c>
      <c r="F33" s="92">
        <f>(D33-E33)/E33</f>
        <v>-0.88086021505376344</v>
      </c>
      <c r="G33" s="93">
        <v>78</v>
      </c>
      <c r="H33" s="89" t="s">
        <v>18</v>
      </c>
      <c r="I33" s="89" t="s">
        <v>18</v>
      </c>
      <c r="J33" s="94">
        <v>3</v>
      </c>
      <c r="K33" s="89">
        <v>5</v>
      </c>
      <c r="L33" s="91">
        <v>36448</v>
      </c>
      <c r="M33" s="93">
        <v>7404</v>
      </c>
      <c r="N33" s="95">
        <v>45191</v>
      </c>
      <c r="O33" s="96" t="s">
        <v>15</v>
      </c>
      <c r="P33" s="77"/>
    </row>
    <row r="34" spans="1:16" s="27" customFormat="1" ht="25.5" customHeight="1" x14ac:dyDescent="0.2">
      <c r="A34" s="22">
        <v>32</v>
      </c>
      <c r="B34" s="19" t="s">
        <v>18</v>
      </c>
      <c r="C34" s="7" t="s">
        <v>130</v>
      </c>
      <c r="D34" s="8">
        <v>266.43</v>
      </c>
      <c r="E34" s="19" t="s">
        <v>18</v>
      </c>
      <c r="F34" s="20" t="s">
        <v>18</v>
      </c>
      <c r="G34" s="10">
        <v>71</v>
      </c>
      <c r="H34" s="11">
        <v>2</v>
      </c>
      <c r="I34" s="11">
        <f>G34/H34</f>
        <v>35.5</v>
      </c>
      <c r="J34" s="94">
        <v>2</v>
      </c>
      <c r="K34" s="20" t="s">
        <v>18</v>
      </c>
      <c r="L34" s="19">
        <v>178512.889999999</v>
      </c>
      <c r="M34" s="21">
        <v>30580</v>
      </c>
      <c r="N34" s="12">
        <v>44834</v>
      </c>
      <c r="O34" s="31" t="s">
        <v>68</v>
      </c>
      <c r="P34" s="77"/>
    </row>
    <row r="35" spans="1:16" s="27" customFormat="1" ht="25.5" customHeight="1" x14ac:dyDescent="0.2">
      <c r="A35" s="89">
        <v>33</v>
      </c>
      <c r="B35" s="92" t="s">
        <v>18</v>
      </c>
      <c r="C35" s="7" t="s">
        <v>235</v>
      </c>
      <c r="D35" s="8">
        <v>229</v>
      </c>
      <c r="E35" s="91" t="s">
        <v>18</v>
      </c>
      <c r="F35" s="92" t="s">
        <v>18</v>
      </c>
      <c r="G35" s="10">
        <v>40</v>
      </c>
      <c r="H35" s="11">
        <v>1</v>
      </c>
      <c r="I35" s="11">
        <f>G35/H35</f>
        <v>40</v>
      </c>
      <c r="J35" s="94">
        <v>1</v>
      </c>
      <c r="K35" s="20" t="s">
        <v>18</v>
      </c>
      <c r="L35" s="19">
        <v>8470.11</v>
      </c>
      <c r="M35" s="21">
        <v>1491</v>
      </c>
      <c r="N35" s="12">
        <v>45135</v>
      </c>
      <c r="O35" s="31" t="s">
        <v>117</v>
      </c>
      <c r="P35" s="77"/>
    </row>
    <row r="36" spans="1:16" s="27" customFormat="1" ht="25.5" customHeight="1" x14ac:dyDescent="0.2">
      <c r="A36" s="22">
        <v>34</v>
      </c>
      <c r="B36" s="92" t="s">
        <v>18</v>
      </c>
      <c r="C36" s="18" t="s">
        <v>290</v>
      </c>
      <c r="D36" s="19">
        <v>146</v>
      </c>
      <c r="E36" s="91" t="s">
        <v>18</v>
      </c>
      <c r="F36" s="92" t="s">
        <v>18</v>
      </c>
      <c r="G36" s="21">
        <v>21</v>
      </c>
      <c r="H36" s="20" t="s">
        <v>18</v>
      </c>
      <c r="I36" s="20" t="s">
        <v>18</v>
      </c>
      <c r="J36" s="94">
        <v>2</v>
      </c>
      <c r="K36" s="20" t="s">
        <v>18</v>
      </c>
      <c r="L36" s="19" t="s">
        <v>340</v>
      </c>
      <c r="M36" s="21">
        <v>12507</v>
      </c>
      <c r="N36" s="23">
        <v>45184</v>
      </c>
      <c r="O36" s="30" t="s">
        <v>15</v>
      </c>
      <c r="P36" s="77"/>
    </row>
    <row r="37" spans="1:16" s="27" customFormat="1" ht="25.5" customHeight="1" x14ac:dyDescent="0.2">
      <c r="A37" s="89">
        <v>35</v>
      </c>
      <c r="B37" s="89">
        <v>27</v>
      </c>
      <c r="C37" s="90" t="s">
        <v>264</v>
      </c>
      <c r="D37" s="91">
        <v>97</v>
      </c>
      <c r="E37" s="91">
        <v>859.5</v>
      </c>
      <c r="F37" s="92">
        <f>(D37-E37)/E37</f>
        <v>-0.88714368819080858</v>
      </c>
      <c r="G37" s="93">
        <v>26</v>
      </c>
      <c r="H37" s="89">
        <v>2</v>
      </c>
      <c r="I37" s="89">
        <f>G37/H37</f>
        <v>13</v>
      </c>
      <c r="J37" s="94">
        <v>1</v>
      </c>
      <c r="K37" s="89">
        <v>10</v>
      </c>
      <c r="L37" s="91">
        <v>41930.089999999997</v>
      </c>
      <c r="M37" s="93">
        <v>7384</v>
      </c>
      <c r="N37" s="95">
        <v>45156</v>
      </c>
      <c r="O37" s="96" t="s">
        <v>64</v>
      </c>
      <c r="P37" s="77"/>
    </row>
    <row r="38" spans="1:16" s="27" customFormat="1" ht="25.5" customHeight="1" x14ac:dyDescent="0.2">
      <c r="A38" s="22">
        <v>36</v>
      </c>
      <c r="B38" s="92" t="s">
        <v>18</v>
      </c>
      <c r="C38" s="18" t="s">
        <v>154</v>
      </c>
      <c r="D38" s="19">
        <v>86.82</v>
      </c>
      <c r="E38" s="19" t="s">
        <v>18</v>
      </c>
      <c r="F38" s="20" t="s">
        <v>18</v>
      </c>
      <c r="G38" s="21">
        <v>25</v>
      </c>
      <c r="H38" s="22">
        <v>2</v>
      </c>
      <c r="I38" s="22">
        <f>G38/H38</f>
        <v>12.5</v>
      </c>
      <c r="J38" s="94">
        <v>1</v>
      </c>
      <c r="K38" s="20" t="s">
        <v>18</v>
      </c>
      <c r="L38" s="19">
        <v>188067.3</v>
      </c>
      <c r="M38" s="21">
        <v>46904</v>
      </c>
      <c r="N38" s="23">
        <v>44659</v>
      </c>
      <c r="O38" s="30" t="s">
        <v>13</v>
      </c>
      <c r="P38" s="77"/>
    </row>
    <row r="39" spans="1:16" s="27" customFormat="1" ht="25.5" customHeight="1" x14ac:dyDescent="0.2">
      <c r="A39" s="89">
        <v>37</v>
      </c>
      <c r="B39" s="89">
        <v>29</v>
      </c>
      <c r="C39" s="90" t="s">
        <v>289</v>
      </c>
      <c r="D39" s="99">
        <v>71</v>
      </c>
      <c r="E39" s="91">
        <v>362</v>
      </c>
      <c r="F39" s="92">
        <f>(D39-E39)/E39</f>
        <v>-0.80386740331491713</v>
      </c>
      <c r="G39" s="100">
        <v>12</v>
      </c>
      <c r="H39" s="89" t="s">
        <v>18</v>
      </c>
      <c r="I39" s="89" t="s">
        <v>18</v>
      </c>
      <c r="J39" s="94">
        <v>1</v>
      </c>
      <c r="K39" s="101">
        <v>7</v>
      </c>
      <c r="L39" s="99">
        <v>10351</v>
      </c>
      <c r="M39" s="100">
        <v>2003</v>
      </c>
      <c r="N39" s="95">
        <v>45177</v>
      </c>
      <c r="O39" s="96" t="s">
        <v>15</v>
      </c>
      <c r="P39" s="77"/>
    </row>
    <row r="40" spans="1:16" s="27" customFormat="1" ht="25.5" customHeight="1" x14ac:dyDescent="0.2">
      <c r="A40" s="22">
        <v>38</v>
      </c>
      <c r="B40" s="89">
        <v>34</v>
      </c>
      <c r="C40" s="90" t="s">
        <v>303</v>
      </c>
      <c r="D40" s="91">
        <v>32.5</v>
      </c>
      <c r="E40" s="91">
        <v>21.5</v>
      </c>
      <c r="F40" s="92">
        <f>(D40-E40)/E40</f>
        <v>0.51162790697674421</v>
      </c>
      <c r="G40" s="93">
        <v>9</v>
      </c>
      <c r="H40" s="89">
        <v>2</v>
      </c>
      <c r="I40" s="89">
        <f>G40/H40</f>
        <v>4.5</v>
      </c>
      <c r="J40" s="94">
        <v>1</v>
      </c>
      <c r="K40" s="89">
        <v>5</v>
      </c>
      <c r="L40" s="91">
        <v>174.9</v>
      </c>
      <c r="M40" s="93">
        <v>50</v>
      </c>
      <c r="N40" s="95">
        <v>45191</v>
      </c>
      <c r="O40" s="96" t="s">
        <v>48</v>
      </c>
      <c r="P40" s="77"/>
    </row>
    <row r="41" spans="1:16" s="27" customFormat="1" ht="25.5" customHeight="1" x14ac:dyDescent="0.2">
      <c r="A41" s="89">
        <v>39</v>
      </c>
      <c r="B41" s="89">
        <v>12</v>
      </c>
      <c r="C41" s="90" t="s">
        <v>329</v>
      </c>
      <c r="D41" s="91">
        <v>22.5</v>
      </c>
      <c r="E41" s="91">
        <v>4301.22</v>
      </c>
      <c r="F41" s="92">
        <f>(D41-E41)/E41</f>
        <v>-0.99476892602563927</v>
      </c>
      <c r="G41" s="93">
        <v>5</v>
      </c>
      <c r="H41" s="89">
        <v>1</v>
      </c>
      <c r="I41" s="89">
        <f>G41/H41</f>
        <v>5</v>
      </c>
      <c r="J41" s="94">
        <v>1</v>
      </c>
      <c r="K41" s="89">
        <v>2</v>
      </c>
      <c r="L41" s="91">
        <v>4323.72</v>
      </c>
      <c r="M41" s="93">
        <v>669</v>
      </c>
      <c r="N41" s="95">
        <v>45212</v>
      </c>
      <c r="O41" s="96" t="s">
        <v>64</v>
      </c>
      <c r="P41" s="77"/>
    </row>
    <row r="42" spans="1:16" s="27" customFormat="1" ht="25.5" customHeight="1" x14ac:dyDescent="0.2">
      <c r="A42" s="22">
        <v>40</v>
      </c>
      <c r="B42" s="92" t="s">
        <v>18</v>
      </c>
      <c r="C42" s="7" t="s">
        <v>316</v>
      </c>
      <c r="D42" s="8">
        <v>20</v>
      </c>
      <c r="E42" s="91" t="s">
        <v>18</v>
      </c>
      <c r="F42" s="92" t="s">
        <v>18</v>
      </c>
      <c r="G42" s="10">
        <v>7</v>
      </c>
      <c r="H42" s="11">
        <v>2</v>
      </c>
      <c r="I42" s="11">
        <f>G42/H42</f>
        <v>3.5</v>
      </c>
      <c r="J42" s="94">
        <v>1</v>
      </c>
      <c r="K42" s="20" t="s">
        <v>18</v>
      </c>
      <c r="L42" s="19">
        <v>199.46</v>
      </c>
      <c r="M42" s="21">
        <v>43</v>
      </c>
      <c r="N42" s="12">
        <v>45198</v>
      </c>
      <c r="O42" s="31" t="s">
        <v>48</v>
      </c>
      <c r="P42" s="77"/>
    </row>
    <row r="43" spans="1:16" s="45" customFormat="1" ht="24.95" customHeight="1" x14ac:dyDescent="0.2">
      <c r="A43" s="67"/>
      <c r="B43" s="67"/>
      <c r="C43" s="46" t="s">
        <v>138</v>
      </c>
      <c r="D43" s="47">
        <f>SUBTOTAL(109,Table1324587910111213141516171819202122232624252728[Pajamos 
(GBO)])</f>
        <v>404362.75999999995</v>
      </c>
      <c r="E43" s="47" t="s">
        <v>337</v>
      </c>
      <c r="F43" s="42">
        <f t="shared" ref="F43" si="0">(D43-E43)/E43</f>
        <v>5.3052701756030614E-2</v>
      </c>
      <c r="G43" s="43">
        <f>SUBTOTAL(109,Table1324587910111213141516171819202122232624252728[Žiūrovų sk. 
(ADM)])</f>
        <v>64180</v>
      </c>
      <c r="H43" s="51"/>
      <c r="I43" s="51"/>
      <c r="J43" s="51"/>
      <c r="K43" s="46"/>
      <c r="L43" s="53"/>
      <c r="M43" s="55"/>
      <c r="N43" s="60"/>
      <c r="O43" s="80"/>
    </row>
    <row r="44" spans="1:16" ht="11.25" hidden="1" x14ac:dyDescent="0.15">
      <c r="A44" s="38"/>
      <c r="B44" s="38"/>
      <c r="K44" s="1"/>
    </row>
    <row r="45" spans="1:16" ht="11.25" hidden="1" x14ac:dyDescent="0.15">
      <c r="A45" s="38"/>
      <c r="B45" s="38"/>
      <c r="K45" s="1"/>
    </row>
    <row r="46" spans="1:16" ht="11.25" hidden="1" x14ac:dyDescent="0.15">
      <c r="A46" s="38"/>
      <c r="B46" s="38"/>
      <c r="K46" s="1"/>
    </row>
    <row r="47" spans="1:16" ht="11.25" hidden="1" x14ac:dyDescent="0.15">
      <c r="A47" s="38"/>
      <c r="B47" s="38"/>
      <c r="K47" s="1"/>
    </row>
    <row r="48" spans="1:16" ht="11.25" hidden="1" x14ac:dyDescent="0.15">
      <c r="A48" s="38"/>
      <c r="B48" s="38"/>
      <c r="K48" s="1"/>
    </row>
    <row r="49" spans="1:16383" ht="11.25" hidden="1" x14ac:dyDescent="0.15">
      <c r="A49" s="38"/>
      <c r="B49" s="38"/>
      <c r="K49" s="1"/>
    </row>
    <row r="50" spans="1:16383" s="37" customFormat="1" ht="11.25" hidden="1" x14ac:dyDescent="0.15">
      <c r="A50" s="38"/>
      <c r="B50" s="38"/>
      <c r="C50" s="1"/>
      <c r="F50" s="58"/>
      <c r="G50" s="56"/>
      <c r="H50" s="38"/>
      <c r="I50" s="38"/>
      <c r="J50" s="38"/>
      <c r="K50" s="1"/>
      <c r="M50" s="56"/>
      <c r="N50" s="39"/>
      <c r="O50" s="8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</row>
    <row r="51" spans="1:16383" s="37" customFormat="1" ht="11.25" hidden="1" x14ac:dyDescent="0.15">
      <c r="A51" s="38"/>
      <c r="B51" s="38"/>
      <c r="C51" s="1"/>
      <c r="F51" s="58"/>
      <c r="G51" s="56"/>
      <c r="H51" s="38"/>
      <c r="I51" s="38"/>
      <c r="J51" s="38"/>
      <c r="K51" s="1"/>
      <c r="M51" s="56"/>
      <c r="N51" s="39"/>
      <c r="O51" s="8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  <c r="XFC51" s="1"/>
    </row>
    <row r="52" spans="1:16383" s="37" customFormat="1" ht="11.25" hidden="1" x14ac:dyDescent="0.15">
      <c r="A52" s="38"/>
      <c r="B52" s="38"/>
      <c r="C52" s="1"/>
      <c r="F52" s="58"/>
      <c r="G52" s="56"/>
      <c r="H52" s="38"/>
      <c r="I52" s="38"/>
      <c r="J52" s="38"/>
      <c r="K52" s="1"/>
      <c r="M52" s="56"/>
      <c r="N52" s="39"/>
      <c r="O52" s="8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  <c r="XFB52" s="1"/>
      <c r="XFC52" s="1"/>
    </row>
    <row r="53" spans="1:16383" s="37" customFormat="1" ht="11.25" hidden="1" x14ac:dyDescent="0.15">
      <c r="A53" s="38"/>
      <c r="B53" s="38"/>
      <c r="C53" s="1"/>
      <c r="F53" s="58"/>
      <c r="G53" s="56"/>
      <c r="H53" s="38"/>
      <c r="I53" s="38"/>
      <c r="J53" s="38"/>
      <c r="K53" s="1"/>
      <c r="M53" s="56"/>
      <c r="N53" s="39"/>
      <c r="O53" s="8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  <c r="XFB53" s="1"/>
      <c r="XFC53" s="1"/>
    </row>
    <row r="54" spans="1:16383" s="37" customFormat="1" ht="11.25" hidden="1" x14ac:dyDescent="0.15">
      <c r="A54" s="38"/>
      <c r="B54" s="38"/>
      <c r="C54" s="1"/>
      <c r="F54" s="58"/>
      <c r="G54" s="56"/>
      <c r="H54" s="38"/>
      <c r="I54" s="38"/>
      <c r="J54" s="38"/>
      <c r="K54" s="1"/>
      <c r="M54" s="56"/>
      <c r="N54" s="39"/>
      <c r="O54" s="8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  <c r="XFA54" s="1"/>
      <c r="XFB54" s="1"/>
      <c r="XFC54" s="1"/>
    </row>
    <row r="55" spans="1:16383" s="37" customFormat="1" ht="11.25" hidden="1" x14ac:dyDescent="0.15">
      <c r="A55" s="38"/>
      <c r="B55" s="38"/>
      <c r="C55" s="1"/>
      <c r="F55" s="58"/>
      <c r="G55" s="56"/>
      <c r="H55" s="38"/>
      <c r="I55" s="38"/>
      <c r="J55" s="38"/>
      <c r="K55" s="1"/>
      <c r="M55" s="56"/>
      <c r="N55" s="39"/>
      <c r="O55" s="8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  <c r="XEW55" s="1"/>
      <c r="XEX55" s="1"/>
      <c r="XEY55" s="1"/>
      <c r="XEZ55" s="1"/>
      <c r="XFA55" s="1"/>
      <c r="XFB55" s="1"/>
      <c r="XFC55" s="1"/>
    </row>
    <row r="56" spans="1:16383" ht="0" hidden="1" customHeight="1" x14ac:dyDescent="0.15"/>
    <row r="57" spans="1:16383" ht="0" hidden="1" customHeight="1" x14ac:dyDescent="0.15"/>
    <row r="58" spans="1:16383" ht="0" hidden="1" customHeight="1" x14ac:dyDescent="0.15"/>
    <row r="59" spans="1:16383" ht="0" hidden="1" customHeight="1" x14ac:dyDescent="0.15"/>
    <row r="60" spans="1:16383" ht="0" hidden="1" customHeight="1" x14ac:dyDescent="0.15"/>
    <row r="61" spans="1:16383" ht="0" hidden="1" customHeight="1" x14ac:dyDescent="0.15"/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82797-B6D3-4878-B34A-5AB63513F770}">
  <dimension ref="A1:XFC45"/>
  <sheetViews>
    <sheetView topLeftCell="A15" zoomScale="60" zoomScaleNormal="60" workbookViewId="0">
      <selection activeCell="C27" sqref="C27:O27"/>
    </sheetView>
  </sheetViews>
  <sheetFormatPr defaultColWidth="0" defaultRowHeight="0" customHeight="1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259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50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22">
        <v>1</v>
      </c>
      <c r="B3" s="22">
        <v>1</v>
      </c>
      <c r="C3" s="18" t="s">
        <v>222</v>
      </c>
      <c r="D3" s="19">
        <v>61573.04</v>
      </c>
      <c r="E3" s="19">
        <v>105604.04</v>
      </c>
      <c r="F3" s="20">
        <f>(D3-E3)/E3</f>
        <v>-0.41694427599550166</v>
      </c>
      <c r="G3" s="21">
        <v>8286</v>
      </c>
      <c r="H3" s="22">
        <v>213</v>
      </c>
      <c r="I3" s="22">
        <f t="shared" ref="I3:I14" si="0">G3/H3</f>
        <v>38.901408450704224</v>
      </c>
      <c r="J3" s="22">
        <v>13</v>
      </c>
      <c r="K3" s="22">
        <v>5</v>
      </c>
      <c r="L3" s="19">
        <v>915440.59</v>
      </c>
      <c r="M3" s="21">
        <v>127069</v>
      </c>
      <c r="N3" s="23">
        <v>45128</v>
      </c>
      <c r="O3" s="30" t="s">
        <v>179</v>
      </c>
    </row>
    <row r="4" spans="1:18" s="24" customFormat="1" ht="25.9" customHeight="1" x14ac:dyDescent="0.2">
      <c r="A4" s="22">
        <v>2</v>
      </c>
      <c r="B4" s="22">
        <v>2</v>
      </c>
      <c r="C4" s="18" t="s">
        <v>213</v>
      </c>
      <c r="D4" s="19">
        <v>55372.18</v>
      </c>
      <c r="E4" s="19">
        <v>89985.07</v>
      </c>
      <c r="F4" s="20">
        <f>(D4-E4)/E4</f>
        <v>-0.38465147607264188</v>
      </c>
      <c r="G4" s="21">
        <v>8864</v>
      </c>
      <c r="H4" s="22">
        <v>248</v>
      </c>
      <c r="I4" s="22">
        <f t="shared" si="0"/>
        <v>35.741935483870968</v>
      </c>
      <c r="J4" s="22">
        <v>16</v>
      </c>
      <c r="K4" s="22">
        <v>5</v>
      </c>
      <c r="L4" s="19">
        <v>1044199.28</v>
      </c>
      <c r="M4" s="21">
        <v>157414</v>
      </c>
      <c r="N4" s="23">
        <v>45128</v>
      </c>
      <c r="O4" s="35" t="s">
        <v>14</v>
      </c>
    </row>
    <row r="5" spans="1:18" s="24" customFormat="1" ht="25.9" customHeight="1" x14ac:dyDescent="0.2">
      <c r="A5" s="22">
        <v>3</v>
      </c>
      <c r="B5" s="22">
        <v>3</v>
      </c>
      <c r="C5" s="18" t="s">
        <v>239</v>
      </c>
      <c r="D5" s="19">
        <v>41581.61</v>
      </c>
      <c r="E5" s="19">
        <v>69030.78</v>
      </c>
      <c r="F5" s="20">
        <f>(D5-E5)/E5</f>
        <v>-0.39763667743577574</v>
      </c>
      <c r="G5" s="21">
        <v>6491</v>
      </c>
      <c r="H5" s="22">
        <v>170</v>
      </c>
      <c r="I5" s="22">
        <f t="shared" si="0"/>
        <v>38.182352941176468</v>
      </c>
      <c r="J5" s="22">
        <v>13</v>
      </c>
      <c r="K5" s="22">
        <v>2</v>
      </c>
      <c r="L5" s="19">
        <v>126589.07</v>
      </c>
      <c r="M5" s="21">
        <v>19278</v>
      </c>
      <c r="N5" s="23">
        <v>45149</v>
      </c>
      <c r="O5" s="35" t="s">
        <v>12</v>
      </c>
      <c r="R5" s="17"/>
    </row>
    <row r="6" spans="1:18" s="24" customFormat="1" ht="25.9" customHeight="1" x14ac:dyDescent="0.2">
      <c r="A6" s="22">
        <v>4</v>
      </c>
      <c r="B6" s="22">
        <v>4</v>
      </c>
      <c r="C6" s="18" t="s">
        <v>238</v>
      </c>
      <c r="D6" s="19">
        <v>24977.8</v>
      </c>
      <c r="E6" s="19">
        <v>40651.870000000003</v>
      </c>
      <c r="F6" s="20">
        <f>(D6-E6)/E6</f>
        <v>-0.38556824077219576</v>
      </c>
      <c r="G6" s="21">
        <v>3960</v>
      </c>
      <c r="H6" s="22">
        <v>127</v>
      </c>
      <c r="I6" s="22">
        <f t="shared" si="0"/>
        <v>31.181102362204726</v>
      </c>
      <c r="J6" s="22">
        <v>11</v>
      </c>
      <c r="K6" s="22">
        <v>3</v>
      </c>
      <c r="L6" s="19">
        <v>146417.91</v>
      </c>
      <c r="M6" s="21">
        <v>23146</v>
      </c>
      <c r="N6" s="23">
        <v>45142</v>
      </c>
      <c r="O6" s="35" t="s">
        <v>14</v>
      </c>
      <c r="R6" s="17"/>
    </row>
    <row r="7" spans="1:18" s="24" customFormat="1" ht="25.9" customHeight="1" x14ac:dyDescent="0.2">
      <c r="A7" s="22">
        <v>5</v>
      </c>
      <c r="B7" s="22" t="s">
        <v>31</v>
      </c>
      <c r="C7" s="18" t="s">
        <v>246</v>
      </c>
      <c r="D7" s="19">
        <v>22423.05</v>
      </c>
      <c r="E7" s="19" t="s">
        <v>18</v>
      </c>
      <c r="F7" s="20" t="s">
        <v>18</v>
      </c>
      <c r="G7" s="21">
        <v>3439</v>
      </c>
      <c r="H7" s="22">
        <v>222</v>
      </c>
      <c r="I7" s="22">
        <f t="shared" si="0"/>
        <v>15.490990990990991</v>
      </c>
      <c r="J7" s="22">
        <v>15</v>
      </c>
      <c r="K7" s="22">
        <v>1</v>
      </c>
      <c r="L7" s="19">
        <v>24928.73</v>
      </c>
      <c r="M7" s="21">
        <v>3798</v>
      </c>
      <c r="N7" s="23">
        <v>45156</v>
      </c>
      <c r="O7" s="35" t="s">
        <v>14</v>
      </c>
      <c r="R7" s="17"/>
    </row>
    <row r="8" spans="1:18" s="24" customFormat="1" ht="25.9" customHeight="1" x14ac:dyDescent="0.2">
      <c r="A8" s="22">
        <v>6</v>
      </c>
      <c r="B8" s="22" t="s">
        <v>31</v>
      </c>
      <c r="C8" s="18" t="s">
        <v>247</v>
      </c>
      <c r="D8" s="19">
        <v>16613.96</v>
      </c>
      <c r="E8" s="19" t="s">
        <v>18</v>
      </c>
      <c r="F8" s="20" t="s">
        <v>18</v>
      </c>
      <c r="G8" s="21">
        <v>2492</v>
      </c>
      <c r="H8" s="22">
        <v>148</v>
      </c>
      <c r="I8" s="22">
        <f t="shared" si="0"/>
        <v>16.837837837837839</v>
      </c>
      <c r="J8" s="22">
        <v>13</v>
      </c>
      <c r="K8" s="22">
        <v>1</v>
      </c>
      <c r="L8" s="19">
        <v>17476.66</v>
      </c>
      <c r="M8" s="21">
        <v>2624</v>
      </c>
      <c r="N8" s="23">
        <v>45156</v>
      </c>
      <c r="O8" s="35" t="s">
        <v>13</v>
      </c>
      <c r="R8" s="17"/>
    </row>
    <row r="9" spans="1:18" s="24" customFormat="1" ht="25.9" customHeight="1" x14ac:dyDescent="0.2">
      <c r="A9" s="22">
        <v>7</v>
      </c>
      <c r="B9" s="22">
        <v>5</v>
      </c>
      <c r="C9" s="18" t="s">
        <v>181</v>
      </c>
      <c r="D9" s="19">
        <v>16284.85</v>
      </c>
      <c r="E9" s="19">
        <v>19102.59</v>
      </c>
      <c r="F9" s="20">
        <f>(D9-E9)/E9</f>
        <v>-0.14750565237488736</v>
      </c>
      <c r="G9" s="21">
        <v>3336</v>
      </c>
      <c r="H9" s="22">
        <v>75</v>
      </c>
      <c r="I9" s="22">
        <f t="shared" si="0"/>
        <v>44.48</v>
      </c>
      <c r="J9" s="22">
        <v>9</v>
      </c>
      <c r="K9" s="22">
        <v>10</v>
      </c>
      <c r="L9" s="19">
        <v>451380.03</v>
      </c>
      <c r="M9" s="21">
        <v>89340</v>
      </c>
      <c r="N9" s="23">
        <v>45093</v>
      </c>
      <c r="O9" s="30" t="s">
        <v>40</v>
      </c>
      <c r="R9" s="17"/>
    </row>
    <row r="10" spans="1:18" s="24" customFormat="1" ht="25.9" customHeight="1" x14ac:dyDescent="0.2">
      <c r="A10" s="22">
        <v>8</v>
      </c>
      <c r="B10" s="22" t="s">
        <v>31</v>
      </c>
      <c r="C10" s="18" t="s">
        <v>264</v>
      </c>
      <c r="D10" s="19">
        <v>12795.07</v>
      </c>
      <c r="E10" s="19" t="s">
        <v>18</v>
      </c>
      <c r="F10" s="20" t="s">
        <v>18</v>
      </c>
      <c r="G10" s="21">
        <v>2150</v>
      </c>
      <c r="H10" s="22">
        <v>39</v>
      </c>
      <c r="I10" s="22">
        <f t="shared" si="0"/>
        <v>55.128205128205131</v>
      </c>
      <c r="J10" s="22">
        <v>8</v>
      </c>
      <c r="K10" s="22">
        <v>1</v>
      </c>
      <c r="L10" s="19">
        <v>12795.07</v>
      </c>
      <c r="M10" s="21">
        <v>2150</v>
      </c>
      <c r="N10" s="23">
        <v>45156</v>
      </c>
      <c r="O10" s="30" t="s">
        <v>64</v>
      </c>
      <c r="R10" s="17"/>
    </row>
    <row r="11" spans="1:18" s="24" customFormat="1" ht="25.9" customHeight="1" x14ac:dyDescent="0.2">
      <c r="A11" s="22">
        <v>9</v>
      </c>
      <c r="B11" s="22" t="s">
        <v>31</v>
      </c>
      <c r="C11" s="18" t="s">
        <v>248</v>
      </c>
      <c r="D11" s="19">
        <v>9253.4699999999993</v>
      </c>
      <c r="E11" s="19" t="s">
        <v>18</v>
      </c>
      <c r="F11" s="20" t="s">
        <v>18</v>
      </c>
      <c r="G11" s="21">
        <v>1924</v>
      </c>
      <c r="H11" s="22">
        <v>163</v>
      </c>
      <c r="I11" s="22">
        <f t="shared" si="0"/>
        <v>11.803680981595091</v>
      </c>
      <c r="J11" s="22">
        <v>16</v>
      </c>
      <c r="K11" s="22">
        <v>1</v>
      </c>
      <c r="L11" s="19">
        <v>9673.4</v>
      </c>
      <c r="M11" s="21">
        <v>1997</v>
      </c>
      <c r="N11" s="23">
        <v>45156</v>
      </c>
      <c r="O11" s="35" t="s">
        <v>13</v>
      </c>
      <c r="R11" s="17"/>
    </row>
    <row r="12" spans="1:18" s="24" customFormat="1" ht="25.9" customHeight="1" x14ac:dyDescent="0.2">
      <c r="A12" s="22">
        <v>10</v>
      </c>
      <c r="B12" s="22">
        <v>6</v>
      </c>
      <c r="C12" s="18" t="s">
        <v>233</v>
      </c>
      <c r="D12" s="19">
        <v>9033.9500000000007</v>
      </c>
      <c r="E12" s="19">
        <v>16894.14</v>
      </c>
      <c r="F12" s="20">
        <f>(D12-E12)/E12</f>
        <v>-0.46526132730047215</v>
      </c>
      <c r="G12" s="21">
        <v>1790</v>
      </c>
      <c r="H12" s="22">
        <v>95</v>
      </c>
      <c r="I12" s="22">
        <f t="shared" si="0"/>
        <v>18.842105263157894</v>
      </c>
      <c r="J12" s="22">
        <v>10</v>
      </c>
      <c r="K12" s="22">
        <v>3</v>
      </c>
      <c r="L12" s="19">
        <v>62958.77</v>
      </c>
      <c r="M12" s="21">
        <v>12399</v>
      </c>
      <c r="N12" s="23">
        <v>45142</v>
      </c>
      <c r="O12" s="30" t="s">
        <v>180</v>
      </c>
      <c r="R12" s="17"/>
    </row>
    <row r="13" spans="1:18" s="27" customFormat="1" ht="25.9" customHeight="1" x14ac:dyDescent="0.15">
      <c r="A13" s="22">
        <v>11</v>
      </c>
      <c r="B13" s="22">
        <v>7</v>
      </c>
      <c r="C13" s="18" t="s">
        <v>198</v>
      </c>
      <c r="D13" s="19">
        <v>7348.28</v>
      </c>
      <c r="E13" s="19">
        <v>11865.58</v>
      </c>
      <c r="F13" s="20">
        <f>(D13-E13)/E13</f>
        <v>-0.3807062107372754</v>
      </c>
      <c r="G13" s="21">
        <v>1537</v>
      </c>
      <c r="H13" s="22">
        <v>69</v>
      </c>
      <c r="I13" s="22">
        <f t="shared" si="0"/>
        <v>22.275362318840578</v>
      </c>
      <c r="J13" s="22">
        <v>9</v>
      </c>
      <c r="K13" s="22">
        <v>6</v>
      </c>
      <c r="L13" s="19">
        <v>194456.19</v>
      </c>
      <c r="M13" s="21">
        <v>39173</v>
      </c>
      <c r="N13" s="23">
        <v>45121</v>
      </c>
      <c r="O13" s="35" t="s">
        <v>13</v>
      </c>
    </row>
    <row r="14" spans="1:18" s="27" customFormat="1" ht="25.9" customHeight="1" x14ac:dyDescent="0.15">
      <c r="A14" s="22">
        <v>12</v>
      </c>
      <c r="B14" s="22">
        <v>9</v>
      </c>
      <c r="C14" s="18" t="s">
        <v>209</v>
      </c>
      <c r="D14" s="19">
        <v>5948.48</v>
      </c>
      <c r="E14" s="19">
        <v>8886.7900000000009</v>
      </c>
      <c r="F14" s="20">
        <f>(D14-E14)/E14</f>
        <v>-0.33063794688520837</v>
      </c>
      <c r="G14" s="21">
        <v>862</v>
      </c>
      <c r="H14" s="22">
        <v>36</v>
      </c>
      <c r="I14" s="22">
        <f t="shared" si="0"/>
        <v>23.944444444444443</v>
      </c>
      <c r="J14" s="22">
        <v>5</v>
      </c>
      <c r="K14" s="22">
        <v>6</v>
      </c>
      <c r="L14" s="19">
        <v>189944.86</v>
      </c>
      <c r="M14" s="21">
        <v>27624</v>
      </c>
      <c r="N14" s="23">
        <v>45121</v>
      </c>
      <c r="O14" s="30" t="s">
        <v>180</v>
      </c>
    </row>
    <row r="15" spans="1:18" s="27" customFormat="1" ht="25.9" customHeight="1" x14ac:dyDescent="0.15">
      <c r="A15" s="22">
        <v>13</v>
      </c>
      <c r="B15" s="22">
        <v>10</v>
      </c>
      <c r="C15" s="18" t="s">
        <v>249</v>
      </c>
      <c r="D15" s="19">
        <v>4540</v>
      </c>
      <c r="E15" s="19">
        <v>6757.64</v>
      </c>
      <c r="F15" s="20">
        <f>(D15-E15)/E15</f>
        <v>-0.32816782190232097</v>
      </c>
      <c r="G15" s="21">
        <v>244</v>
      </c>
      <c r="H15" s="22" t="s">
        <v>18</v>
      </c>
      <c r="I15" s="22" t="s">
        <v>18</v>
      </c>
      <c r="J15" s="22">
        <v>6</v>
      </c>
      <c r="K15" s="22">
        <v>2</v>
      </c>
      <c r="L15" s="19">
        <v>11297.57</v>
      </c>
      <c r="M15" s="21">
        <v>2421</v>
      </c>
      <c r="N15" s="23">
        <v>45149</v>
      </c>
      <c r="O15" s="35" t="s">
        <v>100</v>
      </c>
    </row>
    <row r="16" spans="1:18" s="27" customFormat="1" ht="25.9" customHeight="1" x14ac:dyDescent="0.2">
      <c r="A16" s="22">
        <v>14</v>
      </c>
      <c r="B16" s="22">
        <v>8</v>
      </c>
      <c r="C16" s="18" t="s">
        <v>250</v>
      </c>
      <c r="D16" s="19">
        <v>2724.6</v>
      </c>
      <c r="E16" s="19">
        <v>9447.42</v>
      </c>
      <c r="F16" s="20">
        <f>(D16-E16)/E16</f>
        <v>-0.71160380294302572</v>
      </c>
      <c r="G16" s="21">
        <v>546</v>
      </c>
      <c r="H16" s="22">
        <v>46</v>
      </c>
      <c r="I16" s="22">
        <f t="shared" ref="I16:I25" si="1">G16/H16</f>
        <v>11.869565217391305</v>
      </c>
      <c r="J16" s="22">
        <v>10</v>
      </c>
      <c r="K16" s="22">
        <v>2</v>
      </c>
      <c r="L16" s="19">
        <v>12172.02</v>
      </c>
      <c r="M16" s="21">
        <v>2533</v>
      </c>
      <c r="N16" s="23">
        <v>45149</v>
      </c>
      <c r="O16" s="35" t="s">
        <v>64</v>
      </c>
      <c r="P16" s="77"/>
    </row>
    <row r="17" spans="1:16" s="27" customFormat="1" ht="25.9" customHeight="1" x14ac:dyDescent="0.2">
      <c r="A17" s="22">
        <v>15</v>
      </c>
      <c r="B17" s="22" t="s">
        <v>31</v>
      </c>
      <c r="C17" s="7" t="s">
        <v>261</v>
      </c>
      <c r="D17" s="8">
        <v>1743.9</v>
      </c>
      <c r="E17" s="19" t="s">
        <v>18</v>
      </c>
      <c r="F17" s="20" t="s">
        <v>18</v>
      </c>
      <c r="G17" s="10">
        <v>262</v>
      </c>
      <c r="H17" s="11">
        <v>10</v>
      </c>
      <c r="I17" s="11">
        <f t="shared" si="1"/>
        <v>26.2</v>
      </c>
      <c r="J17" s="11">
        <v>5</v>
      </c>
      <c r="K17" s="11">
        <v>1</v>
      </c>
      <c r="L17" s="19">
        <v>1743.9</v>
      </c>
      <c r="M17" s="21">
        <v>262</v>
      </c>
      <c r="N17" s="23">
        <v>45156</v>
      </c>
      <c r="O17" s="62" t="s">
        <v>30</v>
      </c>
      <c r="P17" s="77"/>
    </row>
    <row r="18" spans="1:16" s="27" customFormat="1" ht="25.9" customHeight="1" x14ac:dyDescent="0.2">
      <c r="A18" s="22">
        <v>16</v>
      </c>
      <c r="B18" s="22" t="s">
        <v>57</v>
      </c>
      <c r="C18" s="7" t="s">
        <v>262</v>
      </c>
      <c r="D18" s="8">
        <v>1741.06</v>
      </c>
      <c r="E18" s="19" t="s">
        <v>18</v>
      </c>
      <c r="F18" s="20" t="s">
        <v>18</v>
      </c>
      <c r="G18" s="10">
        <v>247</v>
      </c>
      <c r="H18" s="11">
        <v>11</v>
      </c>
      <c r="I18" s="11">
        <f t="shared" si="1"/>
        <v>22.454545454545453</v>
      </c>
      <c r="J18" s="11">
        <v>8</v>
      </c>
      <c r="K18" s="11">
        <v>0</v>
      </c>
      <c r="L18" s="19">
        <v>1741.06</v>
      </c>
      <c r="M18" s="21">
        <v>247</v>
      </c>
      <c r="N18" s="12" t="s">
        <v>59</v>
      </c>
      <c r="O18" s="62" t="s">
        <v>13</v>
      </c>
      <c r="P18" s="77"/>
    </row>
    <row r="19" spans="1:16" s="27" customFormat="1" ht="25.9" customHeight="1" x14ac:dyDescent="0.2">
      <c r="A19" s="22">
        <v>17</v>
      </c>
      <c r="B19" s="22" t="s">
        <v>57</v>
      </c>
      <c r="C19" s="7" t="s">
        <v>263</v>
      </c>
      <c r="D19" s="8">
        <v>1413.11</v>
      </c>
      <c r="E19" s="19" t="s">
        <v>18</v>
      </c>
      <c r="F19" s="20" t="s">
        <v>18</v>
      </c>
      <c r="G19" s="10">
        <v>228</v>
      </c>
      <c r="H19" s="11">
        <v>9</v>
      </c>
      <c r="I19" s="11">
        <f t="shared" si="1"/>
        <v>25.333333333333332</v>
      </c>
      <c r="J19" s="11">
        <v>7</v>
      </c>
      <c r="K19" s="11">
        <v>0</v>
      </c>
      <c r="L19" s="19">
        <v>1413.11</v>
      </c>
      <c r="M19" s="21">
        <v>228</v>
      </c>
      <c r="N19" s="12" t="s">
        <v>59</v>
      </c>
      <c r="O19" s="62" t="s">
        <v>13</v>
      </c>
      <c r="P19" s="77"/>
    </row>
    <row r="20" spans="1:16" s="27" customFormat="1" ht="25.9" customHeight="1" x14ac:dyDescent="0.2">
      <c r="A20" s="22">
        <v>18</v>
      </c>
      <c r="B20" s="22">
        <v>12</v>
      </c>
      <c r="C20" s="18" t="s">
        <v>203</v>
      </c>
      <c r="D20" s="19">
        <v>1011.32</v>
      </c>
      <c r="E20" s="19">
        <v>3121.32</v>
      </c>
      <c r="F20" s="20">
        <f>(D20-E20)/E20</f>
        <v>-0.67599605295195619</v>
      </c>
      <c r="G20" s="21">
        <v>148</v>
      </c>
      <c r="H20" s="22">
        <v>6</v>
      </c>
      <c r="I20" s="22">
        <f t="shared" si="1"/>
        <v>24.666666666666668</v>
      </c>
      <c r="J20" s="22">
        <v>2</v>
      </c>
      <c r="K20" s="22">
        <v>7</v>
      </c>
      <c r="L20" s="19">
        <v>211792.52</v>
      </c>
      <c r="M20" s="21">
        <v>29858</v>
      </c>
      <c r="N20" s="23">
        <v>45114</v>
      </c>
      <c r="O20" s="30" t="s">
        <v>12</v>
      </c>
      <c r="P20" s="77"/>
    </row>
    <row r="21" spans="1:16" s="27" customFormat="1" ht="25.9" customHeight="1" x14ac:dyDescent="0.2">
      <c r="A21" s="22">
        <v>19</v>
      </c>
      <c r="B21" s="22" t="s">
        <v>31</v>
      </c>
      <c r="C21" s="18" t="s">
        <v>260</v>
      </c>
      <c r="D21" s="19">
        <v>1007.9000000000001</v>
      </c>
      <c r="E21" s="19" t="s">
        <v>18</v>
      </c>
      <c r="F21" s="20" t="s">
        <v>18</v>
      </c>
      <c r="G21" s="21">
        <v>193</v>
      </c>
      <c r="H21" s="22">
        <v>29</v>
      </c>
      <c r="I21" s="22">
        <f t="shared" si="1"/>
        <v>6.6551724137931032</v>
      </c>
      <c r="J21" s="22">
        <v>8</v>
      </c>
      <c r="K21" s="22">
        <v>1</v>
      </c>
      <c r="L21" s="19">
        <v>1007.9000000000001</v>
      </c>
      <c r="M21" s="21">
        <v>193</v>
      </c>
      <c r="N21" s="23">
        <v>45156</v>
      </c>
      <c r="O21" s="35" t="s">
        <v>68</v>
      </c>
      <c r="P21" s="77"/>
    </row>
    <row r="22" spans="1:16" s="27" customFormat="1" ht="25.9" customHeight="1" x14ac:dyDescent="0.2">
      <c r="A22" s="22">
        <v>20</v>
      </c>
      <c r="B22" s="22">
        <v>15</v>
      </c>
      <c r="C22" s="18" t="s">
        <v>200</v>
      </c>
      <c r="D22" s="19">
        <v>767.72</v>
      </c>
      <c r="E22" s="19">
        <v>964.71</v>
      </c>
      <c r="F22" s="20">
        <f>(D22-E22)/E22</f>
        <v>-0.20419607965087955</v>
      </c>
      <c r="G22" s="21">
        <v>186</v>
      </c>
      <c r="H22" s="22">
        <v>17</v>
      </c>
      <c r="I22" s="22">
        <f t="shared" si="1"/>
        <v>10.941176470588236</v>
      </c>
      <c r="J22" s="22">
        <v>3</v>
      </c>
      <c r="K22" s="22">
        <v>8</v>
      </c>
      <c r="L22" s="19">
        <v>94777.84</v>
      </c>
      <c r="M22" s="21">
        <v>20338</v>
      </c>
      <c r="N22" s="23">
        <v>45107</v>
      </c>
      <c r="O22" s="30" t="s">
        <v>179</v>
      </c>
      <c r="P22" s="77"/>
    </row>
    <row r="23" spans="1:16" s="27" customFormat="1" ht="25.9" customHeight="1" x14ac:dyDescent="0.2">
      <c r="A23" s="22">
        <v>21</v>
      </c>
      <c r="B23" s="22">
        <v>17</v>
      </c>
      <c r="C23" s="18" t="s">
        <v>168</v>
      </c>
      <c r="D23" s="19">
        <v>658.5</v>
      </c>
      <c r="E23" s="19">
        <v>660</v>
      </c>
      <c r="F23" s="20">
        <f>(D23-E23)/E23</f>
        <v>-2.2727272727272726E-3</v>
      </c>
      <c r="G23" s="21">
        <v>265</v>
      </c>
      <c r="H23" s="22">
        <v>14</v>
      </c>
      <c r="I23" s="22">
        <f t="shared" si="1"/>
        <v>18.928571428571427</v>
      </c>
      <c r="J23" s="22">
        <v>2</v>
      </c>
      <c r="K23" s="20" t="s">
        <v>18</v>
      </c>
      <c r="L23" s="19">
        <v>171303.58</v>
      </c>
      <c r="M23" s="21">
        <v>35670</v>
      </c>
      <c r="N23" s="23">
        <v>44925</v>
      </c>
      <c r="O23" s="35" t="s">
        <v>16</v>
      </c>
      <c r="P23" s="77"/>
    </row>
    <row r="24" spans="1:16" s="27" customFormat="1" ht="25.9" customHeight="1" x14ac:dyDescent="0.2">
      <c r="A24" s="22">
        <v>22</v>
      </c>
      <c r="B24" s="19" t="s">
        <v>18</v>
      </c>
      <c r="C24" s="18" t="s">
        <v>44</v>
      </c>
      <c r="D24" s="19">
        <v>657</v>
      </c>
      <c r="E24" s="19" t="s">
        <v>18</v>
      </c>
      <c r="F24" s="20" t="s">
        <v>18</v>
      </c>
      <c r="G24" s="21">
        <v>269</v>
      </c>
      <c r="H24" s="22">
        <v>14</v>
      </c>
      <c r="I24" s="22">
        <f t="shared" si="1"/>
        <v>19.214285714285715</v>
      </c>
      <c r="J24" s="22">
        <v>2</v>
      </c>
      <c r="K24" s="20" t="s">
        <v>18</v>
      </c>
      <c r="L24" s="19">
        <v>1046733.89</v>
      </c>
      <c r="M24" s="21">
        <v>195140</v>
      </c>
      <c r="N24" s="23">
        <v>44916</v>
      </c>
      <c r="O24" s="30" t="s">
        <v>179</v>
      </c>
      <c r="P24" s="77"/>
    </row>
    <row r="25" spans="1:16" s="27" customFormat="1" ht="25.9" customHeight="1" x14ac:dyDescent="0.2">
      <c r="A25" s="22">
        <v>23</v>
      </c>
      <c r="B25" s="19" t="s">
        <v>18</v>
      </c>
      <c r="C25" s="18" t="s">
        <v>265</v>
      </c>
      <c r="D25" s="19">
        <v>540</v>
      </c>
      <c r="E25" s="19" t="s">
        <v>18</v>
      </c>
      <c r="F25" s="20" t="s">
        <v>18</v>
      </c>
      <c r="G25" s="21">
        <v>215</v>
      </c>
      <c r="H25" s="22">
        <v>14</v>
      </c>
      <c r="I25" s="22">
        <f t="shared" si="1"/>
        <v>15.357142857142858</v>
      </c>
      <c r="J25" s="22">
        <v>2</v>
      </c>
      <c r="K25" s="20" t="s">
        <v>18</v>
      </c>
      <c r="L25" s="19">
        <v>140063.35</v>
      </c>
      <c r="M25" s="21">
        <v>27409</v>
      </c>
      <c r="N25" s="23">
        <v>44890</v>
      </c>
      <c r="O25" s="30" t="s">
        <v>40</v>
      </c>
      <c r="P25" s="77"/>
    </row>
    <row r="26" spans="1:16" s="27" customFormat="1" ht="25.9" customHeight="1" x14ac:dyDescent="0.2">
      <c r="A26" s="22">
        <v>24</v>
      </c>
      <c r="B26" s="22">
        <v>24</v>
      </c>
      <c r="C26" s="18" t="s">
        <v>266</v>
      </c>
      <c r="D26" s="19">
        <v>444</v>
      </c>
      <c r="E26" s="19">
        <v>400</v>
      </c>
      <c r="F26" s="20">
        <f t="shared" ref="F26:F32" si="2">(D26-E26)/E26</f>
        <v>0.11</v>
      </c>
      <c r="G26" s="21">
        <v>116</v>
      </c>
      <c r="H26" s="22" t="s">
        <v>18</v>
      </c>
      <c r="I26" s="22" t="s">
        <v>18</v>
      </c>
      <c r="J26" s="22">
        <v>3</v>
      </c>
      <c r="K26" s="22">
        <v>5</v>
      </c>
      <c r="L26" s="19">
        <v>47922</v>
      </c>
      <c r="M26" s="21">
        <v>10370</v>
      </c>
      <c r="N26" s="23">
        <v>45128</v>
      </c>
      <c r="O26" s="35" t="s">
        <v>15</v>
      </c>
      <c r="P26" s="77"/>
    </row>
    <row r="27" spans="1:16" ht="25.9" customHeight="1" x14ac:dyDescent="0.2">
      <c r="A27" s="22">
        <v>25</v>
      </c>
      <c r="B27" s="22">
        <v>20</v>
      </c>
      <c r="C27" s="18" t="s">
        <v>34</v>
      </c>
      <c r="D27" s="19">
        <v>385</v>
      </c>
      <c r="E27" s="19">
        <v>555</v>
      </c>
      <c r="F27" s="20">
        <f t="shared" si="2"/>
        <v>-0.30630630630630629</v>
      </c>
      <c r="G27" s="21">
        <v>154</v>
      </c>
      <c r="H27" s="22">
        <v>14</v>
      </c>
      <c r="I27" s="22">
        <f t="shared" ref="I27:I32" si="3">G27/H27</f>
        <v>11</v>
      </c>
      <c r="J27" s="22">
        <v>2</v>
      </c>
      <c r="K27" s="20" t="s">
        <v>18</v>
      </c>
      <c r="L27" s="19">
        <v>74134.010000000009</v>
      </c>
      <c r="M27" s="21">
        <v>15788</v>
      </c>
      <c r="N27" s="23">
        <v>44981</v>
      </c>
      <c r="O27" s="35" t="s">
        <v>16</v>
      </c>
      <c r="P27" s="79"/>
    </row>
    <row r="28" spans="1:16" ht="25.9" customHeight="1" x14ac:dyDescent="0.2">
      <c r="A28" s="22">
        <v>26</v>
      </c>
      <c r="B28" s="22">
        <v>26</v>
      </c>
      <c r="C28" s="18" t="s">
        <v>36</v>
      </c>
      <c r="D28" s="19">
        <v>329.9</v>
      </c>
      <c r="E28" s="19">
        <v>299.39999999999998</v>
      </c>
      <c r="F28" s="20">
        <f t="shared" si="2"/>
        <v>0.10187040748162994</v>
      </c>
      <c r="G28" s="21">
        <v>47</v>
      </c>
      <c r="H28" s="22">
        <v>5</v>
      </c>
      <c r="I28" s="22">
        <f t="shared" si="3"/>
        <v>9.4</v>
      </c>
      <c r="J28" s="22">
        <v>1</v>
      </c>
      <c r="K28" s="22">
        <v>25</v>
      </c>
      <c r="L28" s="19">
        <v>241938.93000000008</v>
      </c>
      <c r="M28" s="21">
        <v>37894</v>
      </c>
      <c r="N28" s="23">
        <v>44988</v>
      </c>
      <c r="O28" s="30" t="s">
        <v>39</v>
      </c>
      <c r="P28" s="79"/>
    </row>
    <row r="29" spans="1:16" ht="25.9" customHeight="1" x14ac:dyDescent="0.2">
      <c r="A29" s="22">
        <v>27</v>
      </c>
      <c r="B29" s="22">
        <v>29</v>
      </c>
      <c r="C29" s="18" t="s">
        <v>146</v>
      </c>
      <c r="D29" s="19">
        <v>198.1</v>
      </c>
      <c r="E29" s="19">
        <v>146.9</v>
      </c>
      <c r="F29" s="20">
        <f t="shared" si="2"/>
        <v>0.34853641933287943</v>
      </c>
      <c r="G29" s="21">
        <v>27</v>
      </c>
      <c r="H29" s="22">
        <v>3</v>
      </c>
      <c r="I29" s="22">
        <f t="shared" si="3"/>
        <v>9</v>
      </c>
      <c r="J29" s="22">
        <v>1</v>
      </c>
      <c r="K29" s="22">
        <v>12</v>
      </c>
      <c r="L29" s="19">
        <v>9238.2000000000007</v>
      </c>
      <c r="M29" s="21">
        <v>1421</v>
      </c>
      <c r="N29" s="23">
        <v>45079</v>
      </c>
      <c r="O29" s="30" t="s">
        <v>16</v>
      </c>
      <c r="P29" s="79"/>
    </row>
    <row r="30" spans="1:16" s="27" customFormat="1" ht="25.9" customHeight="1" x14ac:dyDescent="0.2">
      <c r="A30" s="22">
        <v>28</v>
      </c>
      <c r="B30" s="22">
        <v>23</v>
      </c>
      <c r="C30" s="18" t="s">
        <v>174</v>
      </c>
      <c r="D30" s="19">
        <v>147.80000000000001</v>
      </c>
      <c r="E30" s="19">
        <v>419</v>
      </c>
      <c r="F30" s="20">
        <f t="shared" si="2"/>
        <v>-0.64725536992840094</v>
      </c>
      <c r="G30" s="21">
        <v>21</v>
      </c>
      <c r="H30" s="22">
        <v>2</v>
      </c>
      <c r="I30" s="22">
        <f t="shared" si="3"/>
        <v>10.5</v>
      </c>
      <c r="J30" s="22">
        <v>1</v>
      </c>
      <c r="K30" s="20" t="s">
        <v>18</v>
      </c>
      <c r="L30" s="19">
        <v>56835.58</v>
      </c>
      <c r="M30" s="21">
        <v>9152</v>
      </c>
      <c r="N30" s="23">
        <v>45086</v>
      </c>
      <c r="O30" s="30" t="s">
        <v>179</v>
      </c>
      <c r="P30" s="77"/>
    </row>
    <row r="31" spans="1:16" s="27" customFormat="1" ht="25.9" customHeight="1" x14ac:dyDescent="0.2">
      <c r="A31" s="22">
        <v>29</v>
      </c>
      <c r="B31" s="22">
        <v>28</v>
      </c>
      <c r="C31" s="18" t="s">
        <v>67</v>
      </c>
      <c r="D31" s="19">
        <v>62</v>
      </c>
      <c r="E31" s="19">
        <v>192.1</v>
      </c>
      <c r="F31" s="20">
        <f t="shared" si="2"/>
        <v>-0.6772514315460697</v>
      </c>
      <c r="G31" s="21">
        <v>11</v>
      </c>
      <c r="H31" s="22">
        <v>1</v>
      </c>
      <c r="I31" s="22">
        <f t="shared" si="3"/>
        <v>11</v>
      </c>
      <c r="J31" s="22">
        <v>1</v>
      </c>
      <c r="K31" s="20" t="s">
        <v>18</v>
      </c>
      <c r="L31" s="19">
        <v>62010</v>
      </c>
      <c r="M31" s="21">
        <v>8365</v>
      </c>
      <c r="N31" s="23">
        <v>45012</v>
      </c>
      <c r="O31" s="30" t="s">
        <v>68</v>
      </c>
      <c r="P31" s="77"/>
    </row>
    <row r="32" spans="1:16" s="27" customFormat="1" ht="25.9" customHeight="1" x14ac:dyDescent="0.2">
      <c r="A32" s="22">
        <v>30</v>
      </c>
      <c r="B32" s="22">
        <v>35</v>
      </c>
      <c r="C32" s="18" t="s">
        <v>38</v>
      </c>
      <c r="D32" s="19">
        <v>34</v>
      </c>
      <c r="E32" s="19">
        <v>62</v>
      </c>
      <c r="F32" s="20">
        <f t="shared" si="2"/>
        <v>-0.45161290322580644</v>
      </c>
      <c r="G32" s="21">
        <v>7</v>
      </c>
      <c r="H32" s="22">
        <v>1</v>
      </c>
      <c r="I32" s="22">
        <f t="shared" si="3"/>
        <v>7</v>
      </c>
      <c r="J32" s="22">
        <v>1</v>
      </c>
      <c r="K32" s="20" t="s">
        <v>18</v>
      </c>
      <c r="L32" s="19">
        <v>35674.9</v>
      </c>
      <c r="M32" s="21">
        <v>5736</v>
      </c>
      <c r="N32" s="23">
        <v>44960</v>
      </c>
      <c r="O32" s="30" t="s">
        <v>40</v>
      </c>
      <c r="P32" s="77"/>
    </row>
    <row r="33" spans="1:15" s="45" customFormat="1" ht="25.9" customHeight="1" x14ac:dyDescent="0.2">
      <c r="A33" s="67"/>
      <c r="B33" s="67"/>
      <c r="C33" s="46" t="s">
        <v>267</v>
      </c>
      <c r="D33" s="47">
        <f>SUBTOTAL(109,Table1324587910111213141516171819[Pajamos 
(GBO)])</f>
        <v>301611.64999999997</v>
      </c>
      <c r="E33" s="47" t="s">
        <v>258</v>
      </c>
      <c r="F33" s="42">
        <f t="shared" ref="F33" si="4">(D33-E33)/E33</f>
        <v>-0.24456387521759285</v>
      </c>
      <c r="G33" s="43">
        <f>SUBTOTAL(109,Table1324587910111213141516171819[Žiūrovų sk. 
(ADM)])</f>
        <v>48317</v>
      </c>
      <c r="H33" s="51"/>
      <c r="I33" s="51"/>
      <c r="J33" s="51"/>
      <c r="K33" s="46"/>
      <c r="L33" s="53"/>
      <c r="M33" s="55"/>
      <c r="N33" s="60"/>
      <c r="O33" s="46"/>
    </row>
    <row r="34" spans="1:15" ht="11.25" hidden="1" x14ac:dyDescent="0.15">
      <c r="A34" s="1"/>
      <c r="B34" s="38"/>
      <c r="K34" s="1"/>
    </row>
    <row r="35" spans="1:15" ht="11.25" hidden="1" x14ac:dyDescent="0.15">
      <c r="A35" s="1"/>
      <c r="B35" s="38"/>
      <c r="K35" s="1"/>
    </row>
    <row r="36" spans="1:15" ht="11.25" hidden="1" x14ac:dyDescent="0.15">
      <c r="A36" s="1"/>
      <c r="B36" s="38"/>
      <c r="K36" s="1"/>
    </row>
    <row r="37" spans="1:15" ht="11.25" hidden="1" x14ac:dyDescent="0.15">
      <c r="A37" s="1"/>
      <c r="B37" s="38"/>
      <c r="K37" s="1"/>
    </row>
    <row r="38" spans="1:15" ht="11.25" hidden="1" x14ac:dyDescent="0.15">
      <c r="A38" s="1"/>
      <c r="B38" s="38"/>
      <c r="K38" s="1"/>
    </row>
    <row r="39" spans="1:15" ht="11.25" hidden="1" x14ac:dyDescent="0.15">
      <c r="A39" s="1"/>
      <c r="B39" s="38"/>
      <c r="K39" s="1"/>
    </row>
    <row r="40" spans="1:15" ht="11.25" hidden="1" x14ac:dyDescent="0.15">
      <c r="A40" s="1"/>
      <c r="B40" s="38"/>
      <c r="K40" s="1"/>
    </row>
    <row r="41" spans="1:15" ht="11.25" hidden="1" x14ac:dyDescent="0.15">
      <c r="A41" s="1"/>
      <c r="B41" s="38"/>
      <c r="K41" s="1"/>
    </row>
    <row r="42" spans="1:15" ht="11.25" hidden="1" x14ac:dyDescent="0.15">
      <c r="A42" s="1"/>
      <c r="B42" s="38"/>
      <c r="K42" s="1"/>
    </row>
    <row r="43" spans="1:15" ht="11.25" hidden="1" x14ac:dyDescent="0.15">
      <c r="A43" s="1"/>
      <c r="B43" s="38"/>
      <c r="K43" s="1"/>
    </row>
    <row r="44" spans="1:15" ht="11.25" hidden="1" x14ac:dyDescent="0.15">
      <c r="A44" s="1"/>
      <c r="B44" s="38"/>
      <c r="K44" s="1"/>
    </row>
    <row r="45" spans="1:15" ht="11.25" hidden="1" x14ac:dyDescent="0.15">
      <c r="A45" s="1"/>
      <c r="B45" s="38"/>
      <c r="K45" s="1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75C00-15E3-4FB8-957E-7378E8AA2884}">
  <dimension ref="A1:XFC53"/>
  <sheetViews>
    <sheetView topLeftCell="A19" zoomScale="60" zoomScaleNormal="60" workbookViewId="0">
      <selection activeCell="C32" sqref="C32"/>
    </sheetView>
  </sheetViews>
  <sheetFormatPr defaultColWidth="0" defaultRowHeight="11.25" customHeight="1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8" width="20.7109375" style="38" customWidth="1"/>
    <col min="9" max="9" width="20.7109375" style="1" customWidth="1"/>
    <col min="10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245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15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22">
        <v>1</v>
      </c>
      <c r="B3" s="22">
        <v>1</v>
      </c>
      <c r="C3" s="18" t="s">
        <v>222</v>
      </c>
      <c r="D3" s="19">
        <v>105604.04</v>
      </c>
      <c r="E3" s="19">
        <v>185940.26</v>
      </c>
      <c r="F3" s="20">
        <f>(D3-E3)/E3</f>
        <v>-0.43205392957931765</v>
      </c>
      <c r="G3" s="21">
        <v>13894</v>
      </c>
      <c r="H3" s="22">
        <v>265</v>
      </c>
      <c r="I3" s="22">
        <f t="shared" ref="I3:I11" si="0">G3/H3</f>
        <v>52.430188679245283</v>
      </c>
      <c r="J3" s="22">
        <v>16</v>
      </c>
      <c r="K3" s="22">
        <v>4</v>
      </c>
      <c r="L3" s="19">
        <v>853867.55</v>
      </c>
      <c r="M3" s="73">
        <v>118783</v>
      </c>
      <c r="N3" s="23">
        <v>45128</v>
      </c>
      <c r="O3" s="30" t="s">
        <v>179</v>
      </c>
    </row>
    <row r="4" spans="1:18" s="24" customFormat="1" ht="25.9" customHeight="1" x14ac:dyDescent="0.2">
      <c r="A4" s="22">
        <v>2</v>
      </c>
      <c r="B4" s="22">
        <v>2</v>
      </c>
      <c r="C4" s="18" t="s">
        <v>213</v>
      </c>
      <c r="D4" s="19">
        <v>89985.07</v>
      </c>
      <c r="E4" s="19">
        <v>162213.69</v>
      </c>
      <c r="F4" s="20">
        <f>(D4-E4)/E4</f>
        <v>-0.44526833709288033</v>
      </c>
      <c r="G4" s="21">
        <v>14160</v>
      </c>
      <c r="H4" s="22">
        <v>291</v>
      </c>
      <c r="I4" s="22">
        <f t="shared" si="0"/>
        <v>48.659793814432987</v>
      </c>
      <c r="J4" s="22">
        <v>18</v>
      </c>
      <c r="K4" s="22">
        <v>4</v>
      </c>
      <c r="L4" s="19">
        <v>988827.1</v>
      </c>
      <c r="M4" s="73">
        <v>148550</v>
      </c>
      <c r="N4" s="23">
        <v>45128</v>
      </c>
      <c r="O4" s="35" t="s">
        <v>14</v>
      </c>
    </row>
    <row r="5" spans="1:18" s="24" customFormat="1" ht="25.9" customHeight="1" x14ac:dyDescent="0.2">
      <c r="A5" s="22">
        <v>3</v>
      </c>
      <c r="B5" s="20" t="s">
        <v>31</v>
      </c>
      <c r="C5" s="18" t="s">
        <v>239</v>
      </c>
      <c r="D5" s="19">
        <v>69030.78</v>
      </c>
      <c r="E5" s="20" t="s">
        <v>18</v>
      </c>
      <c r="F5" s="20" t="s">
        <v>18</v>
      </c>
      <c r="G5" s="21">
        <v>10624</v>
      </c>
      <c r="H5" s="22">
        <v>253</v>
      </c>
      <c r="I5" s="22">
        <f t="shared" si="0"/>
        <v>41.992094861660078</v>
      </c>
      <c r="J5" s="22">
        <v>14</v>
      </c>
      <c r="K5" s="22">
        <v>1</v>
      </c>
      <c r="L5" s="19">
        <v>85007.46</v>
      </c>
      <c r="M5" s="73">
        <v>12787</v>
      </c>
      <c r="N5" s="23">
        <v>45149</v>
      </c>
      <c r="O5" s="35" t="s">
        <v>12</v>
      </c>
      <c r="R5" s="17"/>
    </row>
    <row r="6" spans="1:18" s="24" customFormat="1" ht="25.9" customHeight="1" x14ac:dyDescent="0.2">
      <c r="A6" s="22">
        <v>4</v>
      </c>
      <c r="B6" s="22">
        <v>3</v>
      </c>
      <c r="C6" s="18" t="s">
        <v>238</v>
      </c>
      <c r="D6" s="19">
        <v>40651.870000000003</v>
      </c>
      <c r="E6" s="19">
        <v>74456.149999999994</v>
      </c>
      <c r="F6" s="20">
        <f>(D6-E6)/E6</f>
        <v>-0.45401595435702752</v>
      </c>
      <c r="G6" s="21">
        <v>6354</v>
      </c>
      <c r="H6" s="22">
        <v>170</v>
      </c>
      <c r="I6" s="22">
        <f t="shared" si="0"/>
        <v>37.376470588235293</v>
      </c>
      <c r="J6" s="22">
        <v>12</v>
      </c>
      <c r="K6" s="22">
        <v>2</v>
      </c>
      <c r="L6" s="19">
        <v>121440.11</v>
      </c>
      <c r="M6" s="73">
        <v>19186</v>
      </c>
      <c r="N6" s="23">
        <v>45142</v>
      </c>
      <c r="O6" s="35" t="s">
        <v>14</v>
      </c>
      <c r="R6" s="17"/>
    </row>
    <row r="7" spans="1:18" s="24" customFormat="1" ht="25.9" customHeight="1" x14ac:dyDescent="0.2">
      <c r="A7" s="22">
        <v>5</v>
      </c>
      <c r="B7" s="22">
        <v>5</v>
      </c>
      <c r="C7" s="18" t="s">
        <v>181</v>
      </c>
      <c r="D7" s="19">
        <v>19102.59</v>
      </c>
      <c r="E7" s="19">
        <v>22712.75</v>
      </c>
      <c r="F7" s="20">
        <f>(D7-E7)/E7</f>
        <v>-0.15894860816061462</v>
      </c>
      <c r="G7" s="21">
        <v>3753</v>
      </c>
      <c r="H7" s="22">
        <v>109</v>
      </c>
      <c r="I7" s="22">
        <f t="shared" si="0"/>
        <v>34.431192660550458</v>
      </c>
      <c r="J7" s="22">
        <v>11</v>
      </c>
      <c r="K7" s="22">
        <v>9</v>
      </c>
      <c r="L7" s="19">
        <v>435095.18</v>
      </c>
      <c r="M7" s="73">
        <v>86004</v>
      </c>
      <c r="N7" s="23">
        <v>45093</v>
      </c>
      <c r="O7" s="30" t="s">
        <v>40</v>
      </c>
      <c r="R7" s="17"/>
    </row>
    <row r="8" spans="1:18" s="24" customFormat="1" ht="25.9" customHeight="1" x14ac:dyDescent="0.2">
      <c r="A8" s="22">
        <v>6</v>
      </c>
      <c r="B8" s="22">
        <v>4</v>
      </c>
      <c r="C8" s="18" t="s">
        <v>233</v>
      </c>
      <c r="D8" s="19">
        <v>16894.14</v>
      </c>
      <c r="E8" s="19">
        <v>36376.68</v>
      </c>
      <c r="F8" s="20">
        <f>(D8-E8)/E8</f>
        <v>-0.53557773826528421</v>
      </c>
      <c r="G8" s="21">
        <v>3268</v>
      </c>
      <c r="H8" s="22">
        <v>182</v>
      </c>
      <c r="I8" s="22">
        <f t="shared" si="0"/>
        <v>17.956043956043956</v>
      </c>
      <c r="J8" s="22">
        <v>16</v>
      </c>
      <c r="K8" s="22">
        <v>2</v>
      </c>
      <c r="L8" s="19">
        <v>53924.82</v>
      </c>
      <c r="M8" s="73">
        <v>10609</v>
      </c>
      <c r="N8" s="23">
        <v>45142</v>
      </c>
      <c r="O8" s="30" t="s">
        <v>180</v>
      </c>
      <c r="R8" s="17"/>
    </row>
    <row r="9" spans="1:18" s="24" customFormat="1" ht="25.9" customHeight="1" x14ac:dyDescent="0.2">
      <c r="A9" s="22">
        <v>7</v>
      </c>
      <c r="B9" s="22">
        <v>6</v>
      </c>
      <c r="C9" s="18" t="s">
        <v>198</v>
      </c>
      <c r="D9" s="19">
        <v>11865.58</v>
      </c>
      <c r="E9" s="19">
        <v>19403.73</v>
      </c>
      <c r="F9" s="20">
        <f>(D9-E9)/E9</f>
        <v>-0.38848973882856541</v>
      </c>
      <c r="G9" s="21">
        <v>2378</v>
      </c>
      <c r="H9" s="22">
        <v>105</v>
      </c>
      <c r="I9" s="22">
        <f t="shared" si="0"/>
        <v>22.647619047619049</v>
      </c>
      <c r="J9" s="22">
        <v>12</v>
      </c>
      <c r="K9" s="22">
        <v>5</v>
      </c>
      <c r="L9" s="19">
        <v>187107.91</v>
      </c>
      <c r="M9" s="73">
        <v>37636</v>
      </c>
      <c r="N9" s="23">
        <v>45121</v>
      </c>
      <c r="O9" s="35" t="s">
        <v>13</v>
      </c>
      <c r="R9" s="17"/>
    </row>
    <row r="10" spans="1:18" s="24" customFormat="1" ht="25.9" customHeight="1" x14ac:dyDescent="0.2">
      <c r="A10" s="22">
        <v>8</v>
      </c>
      <c r="B10" s="22" t="s">
        <v>31</v>
      </c>
      <c r="C10" s="7" t="s">
        <v>250</v>
      </c>
      <c r="D10" s="8">
        <v>9447.42</v>
      </c>
      <c r="E10" s="20" t="s">
        <v>18</v>
      </c>
      <c r="F10" s="20" t="s">
        <v>18</v>
      </c>
      <c r="G10" s="10">
        <v>1987</v>
      </c>
      <c r="H10" s="11">
        <v>141</v>
      </c>
      <c r="I10" s="11">
        <f t="shared" si="0"/>
        <v>14.092198581560284</v>
      </c>
      <c r="J10" s="11">
        <v>16</v>
      </c>
      <c r="K10" s="11">
        <v>1</v>
      </c>
      <c r="L10" s="19">
        <v>9447.42</v>
      </c>
      <c r="M10" s="73">
        <v>1987</v>
      </c>
      <c r="N10" s="12">
        <v>45149</v>
      </c>
      <c r="O10" s="62" t="s">
        <v>64</v>
      </c>
      <c r="R10" s="17"/>
    </row>
    <row r="11" spans="1:18" s="24" customFormat="1" ht="25.9" customHeight="1" x14ac:dyDescent="0.2">
      <c r="A11" s="22">
        <v>9</v>
      </c>
      <c r="B11" s="22">
        <v>7</v>
      </c>
      <c r="C11" s="18" t="s">
        <v>209</v>
      </c>
      <c r="D11" s="19">
        <v>8886.7900000000009</v>
      </c>
      <c r="E11" s="19">
        <v>17529.22</v>
      </c>
      <c r="F11" s="20">
        <f>(D11-E11)/E11</f>
        <v>-0.49302992375017257</v>
      </c>
      <c r="G11" s="21">
        <v>1355</v>
      </c>
      <c r="H11" s="22">
        <v>51</v>
      </c>
      <c r="I11" s="22">
        <f t="shared" si="0"/>
        <v>26.568627450980394</v>
      </c>
      <c r="J11" s="22">
        <v>7</v>
      </c>
      <c r="K11" s="22">
        <v>5</v>
      </c>
      <c r="L11" s="19">
        <v>183996.38</v>
      </c>
      <c r="M11" s="73">
        <v>26762</v>
      </c>
      <c r="N11" s="23">
        <v>45121</v>
      </c>
      <c r="O11" s="30" t="s">
        <v>180</v>
      </c>
      <c r="R11" s="17"/>
    </row>
    <row r="12" spans="1:18" s="24" customFormat="1" ht="25.9" customHeight="1" x14ac:dyDescent="0.2">
      <c r="A12" s="22">
        <v>10</v>
      </c>
      <c r="B12" s="22" t="s">
        <v>31</v>
      </c>
      <c r="C12" s="7" t="s">
        <v>249</v>
      </c>
      <c r="D12" s="8">
        <v>6757.64</v>
      </c>
      <c r="E12" s="20" t="s">
        <v>18</v>
      </c>
      <c r="F12" s="20" t="s">
        <v>18</v>
      </c>
      <c r="G12" s="10">
        <v>1407</v>
      </c>
      <c r="H12" s="20" t="s">
        <v>18</v>
      </c>
      <c r="I12" s="20" t="s">
        <v>18</v>
      </c>
      <c r="J12" s="11">
        <v>9</v>
      </c>
      <c r="K12" s="11">
        <v>1</v>
      </c>
      <c r="L12" s="19">
        <v>6757.64</v>
      </c>
      <c r="M12" s="73">
        <v>1407</v>
      </c>
      <c r="N12" s="12">
        <v>45149</v>
      </c>
      <c r="O12" s="62" t="s">
        <v>100</v>
      </c>
      <c r="R12" s="17"/>
    </row>
    <row r="13" spans="1:18" s="24" customFormat="1" ht="25.9" customHeight="1" x14ac:dyDescent="0.2">
      <c r="A13" s="22">
        <v>11</v>
      </c>
      <c r="B13" s="21" t="s">
        <v>31</v>
      </c>
      <c r="C13" s="18" t="s">
        <v>251</v>
      </c>
      <c r="D13" s="74">
        <v>6161.71</v>
      </c>
      <c r="E13" s="20" t="s">
        <v>18</v>
      </c>
      <c r="F13" s="20" t="s">
        <v>18</v>
      </c>
      <c r="G13" s="73">
        <v>964</v>
      </c>
      <c r="H13" s="75">
        <v>81</v>
      </c>
      <c r="I13" s="11">
        <f t="shared" ref="I13:I25" si="1">G13/H13</f>
        <v>11.901234567901234</v>
      </c>
      <c r="J13" s="75">
        <v>12</v>
      </c>
      <c r="K13" s="75">
        <v>1</v>
      </c>
      <c r="L13" s="74">
        <v>6161.71</v>
      </c>
      <c r="M13" s="73">
        <v>964</v>
      </c>
      <c r="N13" s="23">
        <v>45149</v>
      </c>
      <c r="O13" s="30" t="s">
        <v>64</v>
      </c>
      <c r="R13" s="17"/>
    </row>
    <row r="14" spans="1:18" s="27" customFormat="1" ht="25.9" customHeight="1" x14ac:dyDescent="0.15">
      <c r="A14" s="22">
        <v>12</v>
      </c>
      <c r="B14" s="22">
        <v>9</v>
      </c>
      <c r="C14" s="18" t="s">
        <v>203</v>
      </c>
      <c r="D14" s="19">
        <v>3121.32</v>
      </c>
      <c r="E14" s="19">
        <v>11681.15</v>
      </c>
      <c r="F14" s="20">
        <f>(D14-E14)/E14</f>
        <v>-0.73279000783313286</v>
      </c>
      <c r="G14" s="21">
        <v>474</v>
      </c>
      <c r="H14" s="22">
        <v>18</v>
      </c>
      <c r="I14" s="22">
        <f t="shared" si="1"/>
        <v>26.333333333333332</v>
      </c>
      <c r="J14" s="22">
        <v>5</v>
      </c>
      <c r="K14" s="22">
        <v>6</v>
      </c>
      <c r="L14" s="19">
        <v>210781.2</v>
      </c>
      <c r="M14" s="73">
        <v>29710</v>
      </c>
      <c r="N14" s="23">
        <v>45114</v>
      </c>
      <c r="O14" s="30" t="s">
        <v>12</v>
      </c>
    </row>
    <row r="15" spans="1:18" s="27" customFormat="1" ht="25.9" customHeight="1" x14ac:dyDescent="0.15">
      <c r="A15" s="22">
        <v>13</v>
      </c>
      <c r="B15" s="22" t="s">
        <v>57</v>
      </c>
      <c r="C15" s="18" t="s">
        <v>246</v>
      </c>
      <c r="D15" s="19">
        <v>2505.6799999999998</v>
      </c>
      <c r="E15" s="20" t="s">
        <v>18</v>
      </c>
      <c r="F15" s="20" t="s">
        <v>18</v>
      </c>
      <c r="G15" s="21">
        <v>359</v>
      </c>
      <c r="H15" s="22">
        <v>9</v>
      </c>
      <c r="I15" s="22">
        <f t="shared" si="1"/>
        <v>39.888888888888886</v>
      </c>
      <c r="J15" s="22">
        <v>9</v>
      </c>
      <c r="K15" s="22">
        <v>0</v>
      </c>
      <c r="L15" s="19">
        <v>2505.6799999999998</v>
      </c>
      <c r="M15" s="73">
        <v>359</v>
      </c>
      <c r="N15" s="23" t="s">
        <v>59</v>
      </c>
      <c r="O15" s="35" t="s">
        <v>14</v>
      </c>
    </row>
    <row r="16" spans="1:18" s="27" customFormat="1" ht="25.9" customHeight="1" x14ac:dyDescent="0.15">
      <c r="A16" s="22">
        <v>14</v>
      </c>
      <c r="B16" s="22">
        <v>10</v>
      </c>
      <c r="C16" s="18" t="s">
        <v>221</v>
      </c>
      <c r="D16" s="19">
        <v>1579.34</v>
      </c>
      <c r="E16" s="19">
        <v>8463.59</v>
      </c>
      <c r="F16" s="20">
        <f>(D16-E16)/E16</f>
        <v>-0.81339597026793597</v>
      </c>
      <c r="G16" s="21">
        <v>243</v>
      </c>
      <c r="H16" s="22">
        <v>11</v>
      </c>
      <c r="I16" s="22">
        <f t="shared" si="1"/>
        <v>22.09090909090909</v>
      </c>
      <c r="J16" s="22">
        <v>3</v>
      </c>
      <c r="K16" s="22">
        <v>3</v>
      </c>
      <c r="L16" s="19">
        <v>34233.22</v>
      </c>
      <c r="M16" s="73">
        <v>5057</v>
      </c>
      <c r="N16" s="23">
        <v>45135</v>
      </c>
      <c r="O16" s="35" t="s">
        <v>13</v>
      </c>
    </row>
    <row r="17" spans="1:16" s="27" customFormat="1" ht="25.9" customHeight="1" x14ac:dyDescent="0.15">
      <c r="A17" s="22">
        <v>15</v>
      </c>
      <c r="B17" s="22">
        <v>13</v>
      </c>
      <c r="C17" s="18" t="s">
        <v>200</v>
      </c>
      <c r="D17" s="19">
        <v>964.71</v>
      </c>
      <c r="E17" s="19">
        <v>2775.49</v>
      </c>
      <c r="F17" s="20">
        <f>(D17-E17)/E17</f>
        <v>-0.65241813157316364</v>
      </c>
      <c r="G17" s="21">
        <v>220</v>
      </c>
      <c r="H17" s="22">
        <v>18</v>
      </c>
      <c r="I17" s="22">
        <f t="shared" si="1"/>
        <v>12.222222222222221</v>
      </c>
      <c r="J17" s="22">
        <v>4</v>
      </c>
      <c r="K17" s="22">
        <v>7</v>
      </c>
      <c r="L17" s="19">
        <v>94010.12</v>
      </c>
      <c r="M17" s="73">
        <v>20152</v>
      </c>
      <c r="N17" s="23">
        <v>45107</v>
      </c>
      <c r="O17" s="30" t="s">
        <v>179</v>
      </c>
    </row>
    <row r="18" spans="1:16" s="27" customFormat="1" ht="25.9" customHeight="1" x14ac:dyDescent="0.2">
      <c r="A18" s="22">
        <v>16</v>
      </c>
      <c r="B18" s="22" t="s">
        <v>57</v>
      </c>
      <c r="C18" s="7" t="s">
        <v>247</v>
      </c>
      <c r="D18" s="8">
        <v>862.7</v>
      </c>
      <c r="E18" s="20" t="s">
        <v>18</v>
      </c>
      <c r="F18" s="20" t="s">
        <v>18</v>
      </c>
      <c r="G18" s="10">
        <v>132</v>
      </c>
      <c r="H18" s="11">
        <v>9</v>
      </c>
      <c r="I18" s="11">
        <f t="shared" si="1"/>
        <v>14.666666666666666</v>
      </c>
      <c r="J18" s="11">
        <v>7</v>
      </c>
      <c r="K18" s="11">
        <v>0</v>
      </c>
      <c r="L18" s="19">
        <v>862.7</v>
      </c>
      <c r="M18" s="73">
        <v>132</v>
      </c>
      <c r="N18" s="23" t="s">
        <v>59</v>
      </c>
      <c r="O18" s="35" t="s">
        <v>13</v>
      </c>
      <c r="P18" s="77"/>
    </row>
    <row r="19" spans="1:16" s="27" customFormat="1" ht="25.9" customHeight="1" x14ac:dyDescent="0.2">
      <c r="A19" s="22">
        <v>17</v>
      </c>
      <c r="B19" s="20" t="s">
        <v>18</v>
      </c>
      <c r="C19" s="18" t="s">
        <v>168</v>
      </c>
      <c r="D19" s="19">
        <v>660</v>
      </c>
      <c r="E19" s="20" t="s">
        <v>18</v>
      </c>
      <c r="F19" s="20" t="s">
        <v>18</v>
      </c>
      <c r="G19" s="21">
        <v>234</v>
      </c>
      <c r="H19" s="22">
        <v>15</v>
      </c>
      <c r="I19" s="22">
        <f t="shared" si="1"/>
        <v>15.6</v>
      </c>
      <c r="J19" s="22">
        <v>3</v>
      </c>
      <c r="K19" s="20" t="s">
        <v>18</v>
      </c>
      <c r="L19" s="19">
        <v>170645.08</v>
      </c>
      <c r="M19" s="73">
        <v>35405</v>
      </c>
      <c r="N19" s="23">
        <v>44925</v>
      </c>
      <c r="O19" s="35" t="s">
        <v>16</v>
      </c>
      <c r="P19" s="77"/>
    </row>
    <row r="20" spans="1:16" s="27" customFormat="1" ht="25.9" customHeight="1" x14ac:dyDescent="0.2">
      <c r="A20" s="22">
        <v>18</v>
      </c>
      <c r="B20" s="22">
        <v>14</v>
      </c>
      <c r="C20" s="18" t="s">
        <v>159</v>
      </c>
      <c r="D20" s="19">
        <v>648.9</v>
      </c>
      <c r="E20" s="19">
        <v>1563.5</v>
      </c>
      <c r="F20" s="20">
        <f>(D20-E20)/E20</f>
        <v>-0.58496961944355619</v>
      </c>
      <c r="G20" s="21">
        <v>253</v>
      </c>
      <c r="H20" s="22">
        <v>14</v>
      </c>
      <c r="I20" s="22">
        <f t="shared" si="1"/>
        <v>18.071428571428573</v>
      </c>
      <c r="J20" s="22">
        <v>2</v>
      </c>
      <c r="K20" s="20" t="s">
        <v>18</v>
      </c>
      <c r="L20" s="19">
        <v>1344294.14</v>
      </c>
      <c r="M20" s="73">
        <v>250143</v>
      </c>
      <c r="N20" s="23">
        <v>44743</v>
      </c>
      <c r="O20" s="30" t="s">
        <v>179</v>
      </c>
      <c r="P20" s="77"/>
    </row>
    <row r="21" spans="1:16" s="27" customFormat="1" ht="25.9" customHeight="1" x14ac:dyDescent="0.2">
      <c r="A21" s="22">
        <v>19</v>
      </c>
      <c r="B21" s="20" t="s">
        <v>18</v>
      </c>
      <c r="C21" s="7" t="s">
        <v>257</v>
      </c>
      <c r="D21" s="8">
        <v>583</v>
      </c>
      <c r="E21" s="9" t="s">
        <v>18</v>
      </c>
      <c r="F21" s="9" t="s">
        <v>18</v>
      </c>
      <c r="G21" s="10">
        <v>86</v>
      </c>
      <c r="H21" s="11">
        <v>1</v>
      </c>
      <c r="I21" s="11">
        <f t="shared" si="1"/>
        <v>86</v>
      </c>
      <c r="J21" s="11">
        <v>1</v>
      </c>
      <c r="K21" s="9" t="s">
        <v>18</v>
      </c>
      <c r="L21" s="19">
        <v>24921</v>
      </c>
      <c r="M21" s="73">
        <v>3940</v>
      </c>
      <c r="N21" s="12">
        <v>44655</v>
      </c>
      <c r="O21" s="30" t="s">
        <v>68</v>
      </c>
      <c r="P21" s="77"/>
    </row>
    <row r="22" spans="1:16" s="27" customFormat="1" ht="25.9" customHeight="1" x14ac:dyDescent="0.2">
      <c r="A22" s="22">
        <v>20</v>
      </c>
      <c r="B22" s="20" t="s">
        <v>18</v>
      </c>
      <c r="C22" s="7" t="s">
        <v>34</v>
      </c>
      <c r="D22" s="8">
        <v>555</v>
      </c>
      <c r="E22" s="20" t="s">
        <v>18</v>
      </c>
      <c r="F22" s="20" t="s">
        <v>18</v>
      </c>
      <c r="G22" s="10">
        <v>222</v>
      </c>
      <c r="H22" s="11">
        <v>14</v>
      </c>
      <c r="I22" s="11">
        <f t="shared" si="1"/>
        <v>15.857142857142858</v>
      </c>
      <c r="J22" s="11">
        <v>2</v>
      </c>
      <c r="K22" s="20" t="s">
        <v>18</v>
      </c>
      <c r="L22" s="19">
        <v>73749.010000000009</v>
      </c>
      <c r="M22" s="73">
        <v>15634</v>
      </c>
      <c r="N22" s="12">
        <v>44981</v>
      </c>
      <c r="O22" s="62" t="s">
        <v>16</v>
      </c>
      <c r="P22" s="77"/>
    </row>
    <row r="23" spans="1:16" s="27" customFormat="1" ht="25.9" customHeight="1" x14ac:dyDescent="0.2">
      <c r="A23" s="22">
        <v>21</v>
      </c>
      <c r="B23" s="22">
        <v>18</v>
      </c>
      <c r="C23" s="18" t="s">
        <v>240</v>
      </c>
      <c r="D23" s="19">
        <v>531.5</v>
      </c>
      <c r="E23" s="19">
        <v>530.9</v>
      </c>
      <c r="F23" s="20">
        <f>(D23-E23)/E23</f>
        <v>1.1301563382935067E-3</v>
      </c>
      <c r="G23" s="21">
        <v>213</v>
      </c>
      <c r="H23" s="22">
        <v>14</v>
      </c>
      <c r="I23" s="22">
        <f t="shared" si="1"/>
        <v>15.214285714285714</v>
      </c>
      <c r="J23" s="22">
        <v>2</v>
      </c>
      <c r="K23" s="20" t="s">
        <v>18</v>
      </c>
      <c r="L23" s="19">
        <v>424223.07</v>
      </c>
      <c r="M23" s="73">
        <v>83620</v>
      </c>
      <c r="N23" s="78">
        <v>44652</v>
      </c>
      <c r="O23" s="30" t="s">
        <v>180</v>
      </c>
      <c r="P23" s="77"/>
    </row>
    <row r="24" spans="1:16" s="27" customFormat="1" ht="25.9" customHeight="1" x14ac:dyDescent="0.2">
      <c r="A24" s="22">
        <v>22</v>
      </c>
      <c r="B24" s="20" t="s">
        <v>57</v>
      </c>
      <c r="C24" s="7" t="s">
        <v>248</v>
      </c>
      <c r="D24" s="8">
        <v>419.93</v>
      </c>
      <c r="E24" s="20" t="s">
        <v>18</v>
      </c>
      <c r="F24" s="20" t="s">
        <v>18</v>
      </c>
      <c r="G24" s="10">
        <v>73</v>
      </c>
      <c r="H24" s="11">
        <v>5</v>
      </c>
      <c r="I24" s="11">
        <f t="shared" si="1"/>
        <v>14.6</v>
      </c>
      <c r="J24" s="11">
        <v>5</v>
      </c>
      <c r="K24" s="11">
        <v>0</v>
      </c>
      <c r="L24" s="19">
        <v>419.93</v>
      </c>
      <c r="M24" s="73">
        <v>73</v>
      </c>
      <c r="N24" s="23" t="s">
        <v>59</v>
      </c>
      <c r="O24" s="35" t="s">
        <v>13</v>
      </c>
      <c r="P24" s="77"/>
    </row>
    <row r="25" spans="1:16" s="27" customFormat="1" ht="25.9" customHeight="1" x14ac:dyDescent="0.2">
      <c r="A25" s="22">
        <v>23</v>
      </c>
      <c r="B25" s="22">
        <v>20</v>
      </c>
      <c r="C25" s="18" t="s">
        <v>174</v>
      </c>
      <c r="D25" s="19">
        <v>419</v>
      </c>
      <c r="E25" s="19">
        <v>295</v>
      </c>
      <c r="F25" s="20">
        <f>(D25-E25)/E25</f>
        <v>0.42033898305084744</v>
      </c>
      <c r="G25" s="21">
        <v>77</v>
      </c>
      <c r="H25" s="22">
        <v>4</v>
      </c>
      <c r="I25" s="22">
        <f t="shared" si="1"/>
        <v>19.25</v>
      </c>
      <c r="J25" s="22">
        <v>2</v>
      </c>
      <c r="K25" s="20" t="s">
        <v>18</v>
      </c>
      <c r="L25" s="19">
        <v>56687.78</v>
      </c>
      <c r="M25" s="73">
        <v>9131</v>
      </c>
      <c r="N25" s="23">
        <v>45086</v>
      </c>
      <c r="O25" s="30" t="s">
        <v>179</v>
      </c>
      <c r="P25" s="77"/>
    </row>
    <row r="26" spans="1:16" s="27" customFormat="1" ht="25.9" customHeight="1" x14ac:dyDescent="0.2">
      <c r="A26" s="22">
        <v>24</v>
      </c>
      <c r="B26" s="22">
        <v>12</v>
      </c>
      <c r="C26" s="18" t="s">
        <v>219</v>
      </c>
      <c r="D26" s="19">
        <v>400</v>
      </c>
      <c r="E26" s="19">
        <v>6694</v>
      </c>
      <c r="F26" s="20">
        <f>(D26-E26)/E26</f>
        <v>-0.9402449955183747</v>
      </c>
      <c r="G26" s="21">
        <v>85</v>
      </c>
      <c r="H26" s="22" t="s">
        <v>18</v>
      </c>
      <c r="I26" s="22" t="s">
        <v>18</v>
      </c>
      <c r="J26" s="22">
        <v>4</v>
      </c>
      <c r="K26" s="22">
        <v>4</v>
      </c>
      <c r="L26" s="19">
        <v>47478</v>
      </c>
      <c r="M26" s="73">
        <v>10254</v>
      </c>
      <c r="N26" s="23">
        <v>45128</v>
      </c>
      <c r="O26" s="35" t="s">
        <v>15</v>
      </c>
      <c r="P26" s="77"/>
    </row>
    <row r="27" spans="1:16" s="27" customFormat="1" ht="25.9" customHeight="1" x14ac:dyDescent="0.2">
      <c r="A27" s="22">
        <v>25</v>
      </c>
      <c r="B27" s="22">
        <v>29</v>
      </c>
      <c r="C27" s="18" t="s">
        <v>90</v>
      </c>
      <c r="D27" s="19">
        <v>311.8</v>
      </c>
      <c r="E27" s="19">
        <v>65.2</v>
      </c>
      <c r="F27" s="20">
        <f>(D27-E27)/E27</f>
        <v>3.7822085889570554</v>
      </c>
      <c r="G27" s="21">
        <v>60</v>
      </c>
      <c r="H27" s="22">
        <v>3</v>
      </c>
      <c r="I27" s="22">
        <f t="shared" ref="I27:I40" si="2">G27/H27</f>
        <v>20</v>
      </c>
      <c r="J27" s="22">
        <v>2</v>
      </c>
      <c r="K27" s="20" t="s">
        <v>18</v>
      </c>
      <c r="L27" s="19">
        <v>45939.839999999997</v>
      </c>
      <c r="M27" s="73">
        <v>9546</v>
      </c>
      <c r="N27" s="23">
        <v>45044</v>
      </c>
      <c r="O27" s="35" t="s">
        <v>16</v>
      </c>
      <c r="P27" s="77"/>
    </row>
    <row r="28" spans="1:16" s="27" customFormat="1" ht="25.9" customHeight="1" x14ac:dyDescent="0.2">
      <c r="A28" s="22">
        <v>26</v>
      </c>
      <c r="B28" s="22">
        <v>16</v>
      </c>
      <c r="C28" s="18" t="s">
        <v>36</v>
      </c>
      <c r="D28" s="19">
        <v>299.39999999999998</v>
      </c>
      <c r="E28" s="19">
        <v>859.4</v>
      </c>
      <c r="F28" s="20">
        <f>(D28-E28)/E28</f>
        <v>-0.6516174074936002</v>
      </c>
      <c r="G28" s="21">
        <v>42</v>
      </c>
      <c r="H28" s="22">
        <v>6</v>
      </c>
      <c r="I28" s="22">
        <f t="shared" si="2"/>
        <v>7</v>
      </c>
      <c r="J28" s="22">
        <v>1</v>
      </c>
      <c r="K28" s="22">
        <v>24</v>
      </c>
      <c r="L28" s="19">
        <v>241609.03000000009</v>
      </c>
      <c r="M28" s="73">
        <v>37847</v>
      </c>
      <c r="N28" s="23">
        <v>44988</v>
      </c>
      <c r="O28" s="30" t="s">
        <v>39</v>
      </c>
      <c r="P28" s="77"/>
    </row>
    <row r="29" spans="1:16" s="27" customFormat="1" ht="25.9" customHeight="1" x14ac:dyDescent="0.2">
      <c r="A29" s="22">
        <v>27</v>
      </c>
      <c r="B29" s="22" t="s">
        <v>31</v>
      </c>
      <c r="C29" s="7" t="s">
        <v>273</v>
      </c>
      <c r="D29" s="8">
        <v>201</v>
      </c>
      <c r="E29" s="20" t="s">
        <v>18</v>
      </c>
      <c r="F29" s="20" t="s">
        <v>18</v>
      </c>
      <c r="G29" s="10">
        <v>31</v>
      </c>
      <c r="H29" s="11">
        <v>1</v>
      </c>
      <c r="I29" s="11">
        <f t="shared" si="2"/>
        <v>31</v>
      </c>
      <c r="J29" s="11">
        <v>1</v>
      </c>
      <c r="K29" s="11">
        <v>1</v>
      </c>
      <c r="L29" s="8">
        <v>201</v>
      </c>
      <c r="M29" s="10">
        <v>31</v>
      </c>
      <c r="N29" s="12">
        <v>45154</v>
      </c>
      <c r="O29" s="62" t="s">
        <v>68</v>
      </c>
      <c r="P29" s="77"/>
    </row>
    <row r="30" spans="1:16" s="27" customFormat="1" ht="25.9" customHeight="1" x14ac:dyDescent="0.2">
      <c r="A30" s="22">
        <v>28</v>
      </c>
      <c r="B30" s="21" t="s">
        <v>18</v>
      </c>
      <c r="C30" s="18" t="s">
        <v>67</v>
      </c>
      <c r="D30" s="74">
        <v>192.1</v>
      </c>
      <c r="E30" s="20" t="s">
        <v>18</v>
      </c>
      <c r="F30" s="20" t="s">
        <v>18</v>
      </c>
      <c r="G30" s="73">
        <v>36</v>
      </c>
      <c r="H30" s="75">
        <v>2</v>
      </c>
      <c r="I30" s="75">
        <f t="shared" si="2"/>
        <v>18</v>
      </c>
      <c r="J30" s="75">
        <v>2</v>
      </c>
      <c r="K30" s="20" t="s">
        <v>18</v>
      </c>
      <c r="L30" s="74">
        <v>61948.1</v>
      </c>
      <c r="M30" s="73">
        <v>8354</v>
      </c>
      <c r="N30" s="23">
        <v>45012</v>
      </c>
      <c r="O30" s="30" t="s">
        <v>68</v>
      </c>
      <c r="P30" s="77"/>
    </row>
    <row r="31" spans="1:16" s="27" customFormat="1" ht="25.9" customHeight="1" x14ac:dyDescent="0.2">
      <c r="A31" s="22">
        <v>29</v>
      </c>
      <c r="B31" s="22">
        <v>25</v>
      </c>
      <c r="C31" s="18" t="s">
        <v>146</v>
      </c>
      <c r="D31" s="19">
        <v>146.9</v>
      </c>
      <c r="E31" s="19">
        <v>75.7</v>
      </c>
      <c r="F31" s="20">
        <f>(D31-E31)/E31</f>
        <v>0.94055482166446502</v>
      </c>
      <c r="G31" s="21">
        <v>21</v>
      </c>
      <c r="H31" s="22">
        <v>2</v>
      </c>
      <c r="I31" s="22">
        <f t="shared" si="2"/>
        <v>10.5</v>
      </c>
      <c r="J31" s="22">
        <v>1</v>
      </c>
      <c r="K31" s="22">
        <v>11</v>
      </c>
      <c r="L31" s="19">
        <v>9040.1</v>
      </c>
      <c r="M31" s="73">
        <v>1394</v>
      </c>
      <c r="N31" s="23">
        <v>45079</v>
      </c>
      <c r="O31" s="30" t="s">
        <v>16</v>
      </c>
      <c r="P31" s="77"/>
    </row>
    <row r="32" spans="1:16" s="27" customFormat="1" ht="25.9" customHeight="1" x14ac:dyDescent="0.2">
      <c r="A32" s="22">
        <v>30</v>
      </c>
      <c r="B32" s="21" t="s">
        <v>18</v>
      </c>
      <c r="C32" s="7" t="s">
        <v>254</v>
      </c>
      <c r="D32" s="8">
        <v>111</v>
      </c>
      <c r="E32" s="20" t="s">
        <v>18</v>
      </c>
      <c r="F32" s="20" t="s">
        <v>18</v>
      </c>
      <c r="G32" s="10">
        <v>22</v>
      </c>
      <c r="H32" s="11">
        <v>2</v>
      </c>
      <c r="I32" s="11">
        <f t="shared" si="2"/>
        <v>11</v>
      </c>
      <c r="J32" s="11">
        <v>2</v>
      </c>
      <c r="K32" s="9" t="s">
        <v>18</v>
      </c>
      <c r="L32" s="8">
        <v>1862.5</v>
      </c>
      <c r="M32" s="76">
        <v>349</v>
      </c>
      <c r="N32" s="12">
        <v>44897</v>
      </c>
      <c r="O32" s="62" t="s">
        <v>89</v>
      </c>
      <c r="P32" s="77"/>
    </row>
    <row r="33" spans="1:16" s="27" customFormat="1" ht="25.9" customHeight="1" x14ac:dyDescent="0.2">
      <c r="A33" s="22">
        <v>31</v>
      </c>
      <c r="B33" s="22">
        <v>27</v>
      </c>
      <c r="C33" s="18" t="s">
        <v>237</v>
      </c>
      <c r="D33" s="19">
        <v>106</v>
      </c>
      <c r="E33" s="19">
        <v>72.099999999999994</v>
      </c>
      <c r="F33" s="20">
        <f>(D33-E33)/E33</f>
        <v>0.47018030513176157</v>
      </c>
      <c r="G33" s="21">
        <v>19</v>
      </c>
      <c r="H33" s="22">
        <v>1</v>
      </c>
      <c r="I33" s="22">
        <f t="shared" si="2"/>
        <v>19</v>
      </c>
      <c r="J33" s="22">
        <v>1</v>
      </c>
      <c r="K33" s="20" t="s">
        <v>18</v>
      </c>
      <c r="L33" s="19">
        <v>41456.180000000008</v>
      </c>
      <c r="M33" s="73">
        <v>7017</v>
      </c>
      <c r="N33" s="23">
        <v>44678</v>
      </c>
      <c r="O33" s="35" t="s">
        <v>16</v>
      </c>
      <c r="P33" s="72"/>
    </row>
    <row r="34" spans="1:16" s="27" customFormat="1" ht="25.9" customHeight="1" x14ac:dyDescent="0.2">
      <c r="A34" s="22">
        <v>32</v>
      </c>
      <c r="B34" s="20" t="s">
        <v>18</v>
      </c>
      <c r="C34" s="7" t="s">
        <v>37</v>
      </c>
      <c r="D34" s="8">
        <v>105</v>
      </c>
      <c r="E34" s="20" t="s">
        <v>18</v>
      </c>
      <c r="F34" s="20" t="s">
        <v>18</v>
      </c>
      <c r="G34" s="10">
        <v>20</v>
      </c>
      <c r="H34" s="11">
        <v>1</v>
      </c>
      <c r="I34" s="11">
        <f t="shared" si="2"/>
        <v>20</v>
      </c>
      <c r="J34" s="11">
        <v>1</v>
      </c>
      <c r="K34" s="20" t="s">
        <v>18</v>
      </c>
      <c r="L34" s="19">
        <v>281805.03999999998</v>
      </c>
      <c r="M34" s="73">
        <v>47479</v>
      </c>
      <c r="N34" s="12">
        <v>44973</v>
      </c>
      <c r="O34" s="62" t="s">
        <v>13</v>
      </c>
      <c r="P34" s="72"/>
    </row>
    <row r="35" spans="1:16" ht="25.9" customHeight="1" x14ac:dyDescent="0.2">
      <c r="A35" s="22">
        <v>33</v>
      </c>
      <c r="B35" s="10" t="s">
        <v>18</v>
      </c>
      <c r="C35" s="7" t="s">
        <v>256</v>
      </c>
      <c r="D35" s="8">
        <v>102</v>
      </c>
      <c r="E35" s="9" t="s">
        <v>18</v>
      </c>
      <c r="F35" s="9" t="s">
        <v>18</v>
      </c>
      <c r="G35" s="10">
        <v>20</v>
      </c>
      <c r="H35" s="11">
        <v>2</v>
      </c>
      <c r="I35" s="11">
        <f t="shared" si="2"/>
        <v>10</v>
      </c>
      <c r="J35" s="11">
        <v>1</v>
      </c>
      <c r="K35" s="9" t="s">
        <v>18</v>
      </c>
      <c r="L35" s="8">
        <v>3612.85</v>
      </c>
      <c r="M35" s="76">
        <v>652</v>
      </c>
      <c r="N35" s="12">
        <v>44932</v>
      </c>
      <c r="O35" s="62" t="s">
        <v>89</v>
      </c>
      <c r="P35" s="79"/>
    </row>
    <row r="36" spans="1:16" s="27" customFormat="1" ht="25.9" customHeight="1" x14ac:dyDescent="0.2">
      <c r="A36" s="22">
        <v>34</v>
      </c>
      <c r="B36" s="21" t="s">
        <v>18</v>
      </c>
      <c r="C36" s="18" t="s">
        <v>79</v>
      </c>
      <c r="D36" s="74">
        <v>94.3</v>
      </c>
      <c r="E36" s="20" t="s">
        <v>18</v>
      </c>
      <c r="F36" s="20" t="s">
        <v>18</v>
      </c>
      <c r="G36" s="73">
        <v>13</v>
      </c>
      <c r="H36" s="75">
        <v>1</v>
      </c>
      <c r="I36" s="75">
        <f t="shared" si="2"/>
        <v>13</v>
      </c>
      <c r="J36" s="75">
        <v>1</v>
      </c>
      <c r="K36" s="20" t="s">
        <v>18</v>
      </c>
      <c r="L36" s="74">
        <v>46620.5</v>
      </c>
      <c r="M36" s="73">
        <v>5474</v>
      </c>
      <c r="N36" s="23">
        <v>45012</v>
      </c>
      <c r="O36" s="30" t="s">
        <v>68</v>
      </c>
      <c r="P36" s="72"/>
    </row>
    <row r="37" spans="1:16" s="27" customFormat="1" ht="25.9" customHeight="1" x14ac:dyDescent="0.2">
      <c r="A37" s="22">
        <v>35</v>
      </c>
      <c r="B37" s="22">
        <v>28</v>
      </c>
      <c r="C37" s="18" t="s">
        <v>38</v>
      </c>
      <c r="D37" s="19">
        <v>62</v>
      </c>
      <c r="E37" s="19">
        <v>66</v>
      </c>
      <c r="F37" s="20">
        <f>(D37-E37)/E37</f>
        <v>-6.0606060606060608E-2</v>
      </c>
      <c r="G37" s="21">
        <v>12</v>
      </c>
      <c r="H37" s="22">
        <v>1</v>
      </c>
      <c r="I37" s="22">
        <f t="shared" si="2"/>
        <v>12</v>
      </c>
      <c r="J37" s="22">
        <v>1</v>
      </c>
      <c r="K37" s="20" t="s">
        <v>18</v>
      </c>
      <c r="L37" s="19">
        <v>35640.9</v>
      </c>
      <c r="M37" s="73">
        <v>5729</v>
      </c>
      <c r="N37" s="23">
        <v>44960</v>
      </c>
      <c r="O37" s="30" t="s">
        <v>40</v>
      </c>
      <c r="P37" s="72"/>
    </row>
    <row r="38" spans="1:16" ht="25.9" customHeight="1" x14ac:dyDescent="0.2">
      <c r="A38" s="22">
        <v>36</v>
      </c>
      <c r="B38" s="21" t="s">
        <v>18</v>
      </c>
      <c r="C38" s="7" t="s">
        <v>253</v>
      </c>
      <c r="D38" s="8">
        <v>48</v>
      </c>
      <c r="E38" s="9" t="s">
        <v>18</v>
      </c>
      <c r="F38" s="9" t="s">
        <v>18</v>
      </c>
      <c r="G38" s="10">
        <v>9</v>
      </c>
      <c r="H38" s="11">
        <v>1</v>
      </c>
      <c r="I38" s="11">
        <f t="shared" si="2"/>
        <v>9</v>
      </c>
      <c r="J38" s="11">
        <v>1</v>
      </c>
      <c r="K38" s="9" t="s">
        <v>18</v>
      </c>
      <c r="L38" s="8">
        <v>2190.1999999999998</v>
      </c>
      <c r="M38" s="76">
        <v>298</v>
      </c>
      <c r="N38" s="12">
        <v>44974</v>
      </c>
      <c r="O38" s="62" t="s">
        <v>89</v>
      </c>
      <c r="P38" s="79"/>
    </row>
    <row r="39" spans="1:16" ht="25.9" customHeight="1" x14ac:dyDescent="0.2">
      <c r="A39" s="22">
        <v>37</v>
      </c>
      <c r="B39" s="21" t="s">
        <v>18</v>
      </c>
      <c r="C39" s="7" t="s">
        <v>255</v>
      </c>
      <c r="D39" s="8">
        <v>30</v>
      </c>
      <c r="E39" s="20" t="s">
        <v>18</v>
      </c>
      <c r="F39" s="20" t="s">
        <v>18</v>
      </c>
      <c r="G39" s="10">
        <v>7</v>
      </c>
      <c r="H39" s="11">
        <v>1</v>
      </c>
      <c r="I39" s="11">
        <f t="shared" si="2"/>
        <v>7</v>
      </c>
      <c r="J39" s="11">
        <v>1</v>
      </c>
      <c r="K39" s="9" t="s">
        <v>18</v>
      </c>
      <c r="L39" s="8">
        <v>4615.3500000000004</v>
      </c>
      <c r="M39" s="76">
        <v>831</v>
      </c>
      <c r="N39" s="12">
        <v>44897</v>
      </c>
      <c r="O39" s="62" t="s">
        <v>89</v>
      </c>
      <c r="P39" s="79"/>
    </row>
    <row r="40" spans="1:16" ht="25.9" customHeight="1" x14ac:dyDescent="0.2">
      <c r="A40" s="22">
        <v>38</v>
      </c>
      <c r="B40" s="22">
        <v>32</v>
      </c>
      <c r="C40" s="18" t="s">
        <v>196</v>
      </c>
      <c r="D40" s="19">
        <v>8</v>
      </c>
      <c r="E40" s="19">
        <v>8</v>
      </c>
      <c r="F40" s="20">
        <f>(D40-E40)/E40</f>
        <v>0</v>
      </c>
      <c r="G40" s="21">
        <v>2</v>
      </c>
      <c r="H40" s="22">
        <v>1</v>
      </c>
      <c r="I40" s="22">
        <f t="shared" si="2"/>
        <v>2</v>
      </c>
      <c r="J40" s="22">
        <v>1</v>
      </c>
      <c r="K40" s="22">
        <v>8</v>
      </c>
      <c r="L40" s="19">
        <v>1499.1</v>
      </c>
      <c r="M40" s="73">
        <v>263</v>
      </c>
      <c r="N40" s="23">
        <v>45106</v>
      </c>
      <c r="O40" s="30" t="s">
        <v>30</v>
      </c>
      <c r="P40" s="79"/>
    </row>
    <row r="41" spans="1:16" s="45" customFormat="1" ht="25.5" customHeight="1" x14ac:dyDescent="0.2">
      <c r="A41" s="67"/>
      <c r="B41" s="67"/>
      <c r="C41" s="46" t="s">
        <v>277</v>
      </c>
      <c r="D41" s="47">
        <f>SUBTOTAL(109,Table13245879101112131415161718[Pajamos 
(GBO)])</f>
        <v>399456.21000000014</v>
      </c>
      <c r="E41" s="47" t="s">
        <v>252</v>
      </c>
      <c r="F41" s="42">
        <f t="shared" ref="F41" si="3">(D41-E41)/E41</f>
        <v>-0.30910966556896147</v>
      </c>
      <c r="G41" s="43">
        <f>SUBTOTAL(109,Table13245879101112131415161718[Žiūrovų sk. 
(ADM)])</f>
        <v>63129</v>
      </c>
      <c r="H41" s="51"/>
      <c r="I41" s="46"/>
      <c r="J41" s="51"/>
      <c r="K41" s="46"/>
      <c r="L41" s="53"/>
      <c r="M41" s="55"/>
      <c r="N41" s="60"/>
      <c r="O41" s="46"/>
    </row>
    <row r="42" spans="1:16" hidden="1" x14ac:dyDescent="0.15">
      <c r="A42" s="1"/>
      <c r="B42" s="1"/>
      <c r="D42" s="1"/>
      <c r="E42" s="1"/>
      <c r="G42" s="1"/>
      <c r="H42" s="1"/>
      <c r="J42" s="1"/>
      <c r="K42" s="1"/>
      <c r="L42" s="1"/>
      <c r="M42" s="1"/>
      <c r="N42" s="1"/>
    </row>
    <row r="43" spans="1:16" hidden="1" x14ac:dyDescent="0.15">
      <c r="A43" s="1"/>
      <c r="B43" s="1"/>
      <c r="D43" s="1"/>
      <c r="E43" s="1"/>
      <c r="G43" s="1"/>
      <c r="H43" s="1"/>
      <c r="J43" s="1"/>
      <c r="K43" s="1"/>
      <c r="L43" s="1"/>
      <c r="M43" s="1"/>
      <c r="N43" s="1"/>
    </row>
    <row r="44" spans="1:16" hidden="1" x14ac:dyDescent="0.15">
      <c r="A44" s="1"/>
      <c r="B44" s="1"/>
      <c r="D44" s="1"/>
      <c r="E44" s="1"/>
      <c r="G44" s="1"/>
      <c r="H44" s="1"/>
      <c r="J44" s="1"/>
      <c r="K44" s="1"/>
      <c r="L44" s="1"/>
      <c r="M44" s="1"/>
      <c r="N44" s="1"/>
    </row>
    <row r="45" spans="1:16" hidden="1" x14ac:dyDescent="0.15">
      <c r="A45" s="1"/>
      <c r="B45" s="1"/>
      <c r="D45" s="1"/>
      <c r="E45" s="1"/>
      <c r="G45" s="1"/>
      <c r="H45" s="1"/>
      <c r="J45" s="1"/>
      <c r="K45" s="1"/>
      <c r="L45" s="1"/>
      <c r="M45" s="1"/>
      <c r="N45" s="1"/>
    </row>
    <row r="46" spans="1:16" hidden="1" x14ac:dyDescent="0.15">
      <c r="A46" s="1"/>
      <c r="B46" s="1"/>
      <c r="D46" s="1"/>
      <c r="G46" s="1"/>
      <c r="H46" s="1"/>
      <c r="J46" s="1"/>
      <c r="K46" s="1"/>
      <c r="L46" s="1"/>
      <c r="M46" s="1"/>
      <c r="N46" s="1"/>
    </row>
    <row r="47" spans="1:16" hidden="1" x14ac:dyDescent="0.15">
      <c r="A47" s="1"/>
      <c r="B47" s="1"/>
      <c r="D47" s="1"/>
      <c r="E47" s="1"/>
      <c r="G47" s="1"/>
      <c r="H47" s="1"/>
      <c r="J47" s="1"/>
      <c r="K47" s="1"/>
      <c r="L47" s="1"/>
      <c r="M47" s="1"/>
      <c r="N47" s="1"/>
    </row>
    <row r="48" spans="1:16" hidden="1" x14ac:dyDescent="0.15">
      <c r="A48" s="1"/>
      <c r="B48" s="1"/>
      <c r="D48" s="1"/>
      <c r="E48" s="1"/>
      <c r="G48" s="1"/>
      <c r="H48" s="1"/>
      <c r="J48" s="1"/>
      <c r="K48" s="1"/>
      <c r="L48" s="1"/>
      <c r="M48" s="1"/>
      <c r="N48" s="1"/>
    </row>
    <row r="49" spans="6:6" s="1" customFormat="1" hidden="1" x14ac:dyDescent="0.15">
      <c r="F49" s="58"/>
    </row>
    <row r="50" spans="6:6" s="1" customFormat="1" hidden="1" x14ac:dyDescent="0.15">
      <c r="F50" s="58"/>
    </row>
    <row r="51" spans="6:6" s="1" customFormat="1" hidden="1" x14ac:dyDescent="0.15">
      <c r="F51" s="58"/>
    </row>
    <row r="52" spans="6:6" s="1" customFormat="1" hidden="1" x14ac:dyDescent="0.15">
      <c r="F52" s="58"/>
    </row>
    <row r="53" spans="6:6" s="1" customFormat="1" hidden="1" x14ac:dyDescent="0.15">
      <c r="F53" s="58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1C241-10FC-44BA-853F-C64A704BEDE0}">
  <dimension ref="A1:XFC47"/>
  <sheetViews>
    <sheetView topLeftCell="A14" zoomScale="60" zoomScaleNormal="60" workbookViewId="0">
      <selection activeCell="C25" sqref="C25:O25"/>
    </sheetView>
  </sheetViews>
  <sheetFormatPr defaultColWidth="0" defaultRowHeight="11.25" customHeight="1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8" width="20.7109375" style="38" customWidth="1"/>
    <col min="9" max="9" width="20.7109375" style="1" customWidth="1"/>
    <col min="10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244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15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22">
        <v>1</v>
      </c>
      <c r="B3" s="22">
        <v>1</v>
      </c>
      <c r="C3" s="18" t="s">
        <v>222</v>
      </c>
      <c r="D3" s="19">
        <v>185940.26</v>
      </c>
      <c r="E3" s="19">
        <v>273168.48</v>
      </c>
      <c r="F3" s="20">
        <f>(D3-E3)/E3</f>
        <v>-0.31932022318241099</v>
      </c>
      <c r="G3" s="21">
        <v>24844</v>
      </c>
      <c r="H3" s="22">
        <v>332</v>
      </c>
      <c r="I3" s="22">
        <f t="shared" ref="I3:I13" si="0">G3/H3</f>
        <v>74.831325301204814</v>
      </c>
      <c r="J3" s="22">
        <v>18</v>
      </c>
      <c r="K3" s="22">
        <v>3</v>
      </c>
      <c r="L3" s="19">
        <v>748263.51</v>
      </c>
      <c r="M3" s="73">
        <v>104889</v>
      </c>
      <c r="N3" s="23">
        <v>45128</v>
      </c>
      <c r="O3" s="30" t="s">
        <v>179</v>
      </c>
    </row>
    <row r="4" spans="1:18" s="24" customFormat="1" ht="25.9" customHeight="1" x14ac:dyDescent="0.2">
      <c r="A4" s="22">
        <v>2</v>
      </c>
      <c r="B4" s="22">
        <v>2</v>
      </c>
      <c r="C4" s="18" t="s">
        <v>213</v>
      </c>
      <c r="D4" s="19">
        <v>162213.69</v>
      </c>
      <c r="E4" s="19">
        <v>268156.40999999997</v>
      </c>
      <c r="F4" s="20">
        <f>(D4-E4)/E4</f>
        <v>-0.39507808148237061</v>
      </c>
      <c r="G4" s="21">
        <v>25019</v>
      </c>
      <c r="H4" s="22">
        <v>366</v>
      </c>
      <c r="I4" s="22">
        <f t="shared" si="0"/>
        <v>68.357923497267763</v>
      </c>
      <c r="J4" s="22">
        <v>18</v>
      </c>
      <c r="K4" s="22">
        <v>3</v>
      </c>
      <c r="L4" s="19">
        <v>898871.68</v>
      </c>
      <c r="M4" s="73">
        <v>134395</v>
      </c>
      <c r="N4" s="23">
        <v>45128</v>
      </c>
      <c r="O4" s="35" t="s">
        <v>14</v>
      </c>
    </row>
    <row r="5" spans="1:18" s="24" customFormat="1" ht="25.9" customHeight="1" x14ac:dyDescent="0.2">
      <c r="A5" s="22">
        <v>3</v>
      </c>
      <c r="B5" s="22" t="s">
        <v>31</v>
      </c>
      <c r="C5" s="18" t="s">
        <v>238</v>
      </c>
      <c r="D5" s="19">
        <v>74456.149999999994</v>
      </c>
      <c r="E5" s="19" t="s">
        <v>18</v>
      </c>
      <c r="F5" s="20" t="s">
        <v>18</v>
      </c>
      <c r="G5" s="21">
        <v>11868</v>
      </c>
      <c r="H5" s="22">
        <v>219</v>
      </c>
      <c r="I5" s="22">
        <f t="shared" si="0"/>
        <v>54.19178082191781</v>
      </c>
      <c r="J5" s="22">
        <v>15</v>
      </c>
      <c r="K5" s="22">
        <v>1</v>
      </c>
      <c r="L5" s="19">
        <v>80805.320000000007</v>
      </c>
      <c r="M5" s="73">
        <v>12836</v>
      </c>
      <c r="N5" s="23">
        <v>45142</v>
      </c>
      <c r="O5" s="35" t="s">
        <v>14</v>
      </c>
      <c r="R5" s="17"/>
    </row>
    <row r="6" spans="1:18" s="24" customFormat="1" ht="25.9" customHeight="1" x14ac:dyDescent="0.2">
      <c r="A6" s="22">
        <v>4</v>
      </c>
      <c r="B6" s="22" t="s">
        <v>31</v>
      </c>
      <c r="C6" s="18" t="s">
        <v>233</v>
      </c>
      <c r="D6" s="19">
        <v>36376.68</v>
      </c>
      <c r="E6" s="20" t="s">
        <v>18</v>
      </c>
      <c r="F6" s="20" t="s">
        <v>18</v>
      </c>
      <c r="G6" s="21">
        <v>7201</v>
      </c>
      <c r="H6" s="22">
        <v>276</v>
      </c>
      <c r="I6" s="22">
        <f t="shared" si="0"/>
        <v>26.090579710144926</v>
      </c>
      <c r="J6" s="22">
        <v>18</v>
      </c>
      <c r="K6" s="22">
        <v>1</v>
      </c>
      <c r="L6" s="19">
        <v>37030.68</v>
      </c>
      <c r="M6" s="73">
        <v>7341</v>
      </c>
      <c r="N6" s="23">
        <v>45142</v>
      </c>
      <c r="O6" s="30" t="s">
        <v>180</v>
      </c>
      <c r="R6" s="17"/>
    </row>
    <row r="7" spans="1:18" s="24" customFormat="1" ht="25.9" customHeight="1" x14ac:dyDescent="0.2">
      <c r="A7" s="22">
        <v>5</v>
      </c>
      <c r="B7" s="22">
        <v>3</v>
      </c>
      <c r="C7" s="18" t="s">
        <v>181</v>
      </c>
      <c r="D7" s="19">
        <v>22712.75</v>
      </c>
      <c r="E7" s="19">
        <v>34028.44</v>
      </c>
      <c r="F7" s="20">
        <f>(D7-E7)/E7</f>
        <v>-0.33253625496790334</v>
      </c>
      <c r="G7" s="21">
        <v>4589</v>
      </c>
      <c r="H7" s="22">
        <v>104</v>
      </c>
      <c r="I7" s="22">
        <f t="shared" si="0"/>
        <v>44.125</v>
      </c>
      <c r="J7" s="22">
        <v>10</v>
      </c>
      <c r="K7" s="22">
        <v>8</v>
      </c>
      <c r="L7" s="19">
        <v>415992.59</v>
      </c>
      <c r="M7" s="73">
        <v>82251</v>
      </c>
      <c r="N7" s="23">
        <v>45093</v>
      </c>
      <c r="O7" s="30" t="s">
        <v>40</v>
      </c>
      <c r="R7" s="17"/>
    </row>
    <row r="8" spans="1:18" s="24" customFormat="1" ht="25.9" customHeight="1" x14ac:dyDescent="0.2">
      <c r="A8" s="22">
        <v>6</v>
      </c>
      <c r="B8" s="22">
        <v>4</v>
      </c>
      <c r="C8" s="18" t="s">
        <v>198</v>
      </c>
      <c r="D8" s="19">
        <v>19403.73</v>
      </c>
      <c r="E8" s="19">
        <v>29124.38</v>
      </c>
      <c r="F8" s="20">
        <f>(D8-E8)/E8</f>
        <v>-0.33376332818072013</v>
      </c>
      <c r="G8" s="21">
        <v>4150</v>
      </c>
      <c r="H8" s="22">
        <v>140</v>
      </c>
      <c r="I8" s="22">
        <f t="shared" si="0"/>
        <v>29.642857142857142</v>
      </c>
      <c r="J8" s="22">
        <v>15</v>
      </c>
      <c r="K8" s="22">
        <v>4</v>
      </c>
      <c r="L8" s="19">
        <v>175242.33</v>
      </c>
      <c r="M8" s="73">
        <v>35258</v>
      </c>
      <c r="N8" s="23">
        <v>45121</v>
      </c>
      <c r="O8" s="35" t="s">
        <v>13</v>
      </c>
      <c r="R8" s="17"/>
    </row>
    <row r="9" spans="1:18" s="24" customFormat="1" ht="25.9" customHeight="1" x14ac:dyDescent="0.2">
      <c r="A9" s="22">
        <v>7</v>
      </c>
      <c r="B9" s="22">
        <v>5</v>
      </c>
      <c r="C9" s="18" t="s">
        <v>209</v>
      </c>
      <c r="D9" s="19">
        <v>17529.22</v>
      </c>
      <c r="E9" s="19">
        <v>25556.52</v>
      </c>
      <c r="F9" s="20">
        <f>(D9-E9)/E9</f>
        <v>-0.31409988527389487</v>
      </c>
      <c r="G9" s="21">
        <v>2620</v>
      </c>
      <c r="H9" s="22">
        <v>87</v>
      </c>
      <c r="I9" s="22">
        <f t="shared" si="0"/>
        <v>30.114942528735632</v>
      </c>
      <c r="J9" s="22">
        <v>8</v>
      </c>
      <c r="K9" s="22">
        <v>4</v>
      </c>
      <c r="L9" s="19">
        <v>175109.59</v>
      </c>
      <c r="M9" s="73">
        <v>25407</v>
      </c>
      <c r="N9" s="23">
        <v>45121</v>
      </c>
      <c r="O9" s="30" t="s">
        <v>180</v>
      </c>
      <c r="R9" s="17"/>
    </row>
    <row r="10" spans="1:18" s="24" customFormat="1" ht="25.9" customHeight="1" x14ac:dyDescent="0.2">
      <c r="A10" s="22">
        <v>8</v>
      </c>
      <c r="B10" s="22" t="s">
        <v>57</v>
      </c>
      <c r="C10" s="18" t="s">
        <v>239</v>
      </c>
      <c r="D10" s="19">
        <v>15976.68</v>
      </c>
      <c r="E10" s="19" t="s">
        <v>18</v>
      </c>
      <c r="F10" s="20" t="s">
        <v>18</v>
      </c>
      <c r="G10" s="21">
        <v>2163</v>
      </c>
      <c r="H10" s="22">
        <v>19</v>
      </c>
      <c r="I10" s="22">
        <f t="shared" si="0"/>
        <v>113.84210526315789</v>
      </c>
      <c r="J10" s="22">
        <v>8</v>
      </c>
      <c r="K10" s="22">
        <v>0</v>
      </c>
      <c r="L10" s="19">
        <v>15976.68</v>
      </c>
      <c r="M10" s="73">
        <v>2163</v>
      </c>
      <c r="N10" s="23" t="s">
        <v>59</v>
      </c>
      <c r="O10" s="35" t="s">
        <v>12</v>
      </c>
      <c r="R10" s="17"/>
    </row>
    <row r="11" spans="1:18" s="63" customFormat="1" ht="25.9" customHeight="1" x14ac:dyDescent="0.2">
      <c r="A11" s="22">
        <v>9</v>
      </c>
      <c r="B11" s="22">
        <v>8</v>
      </c>
      <c r="C11" s="18" t="s">
        <v>203</v>
      </c>
      <c r="D11" s="19">
        <v>11681.15</v>
      </c>
      <c r="E11" s="19">
        <v>17822.439999999999</v>
      </c>
      <c r="F11" s="20">
        <f>(D11-E11)/E11</f>
        <v>-0.3445818866552503</v>
      </c>
      <c r="G11" s="21">
        <v>1639</v>
      </c>
      <c r="H11" s="22">
        <v>48</v>
      </c>
      <c r="I11" s="22">
        <f t="shared" si="0"/>
        <v>34.145833333333336</v>
      </c>
      <c r="J11" s="22">
        <v>6</v>
      </c>
      <c r="K11" s="22">
        <v>5</v>
      </c>
      <c r="L11" s="19">
        <v>207659.88</v>
      </c>
      <c r="M11" s="73">
        <v>29236</v>
      </c>
      <c r="N11" s="23">
        <v>45114</v>
      </c>
      <c r="O11" s="30" t="s">
        <v>12</v>
      </c>
      <c r="R11" s="6"/>
    </row>
    <row r="12" spans="1:18" s="24" customFormat="1" ht="25.9" customHeight="1" x14ac:dyDescent="0.2">
      <c r="A12" s="22">
        <v>10</v>
      </c>
      <c r="B12" s="22">
        <v>6</v>
      </c>
      <c r="C12" s="18" t="s">
        <v>221</v>
      </c>
      <c r="D12" s="19">
        <v>8463.59</v>
      </c>
      <c r="E12" s="19">
        <v>22425.45</v>
      </c>
      <c r="F12" s="20">
        <f>(D12-E12)/E12</f>
        <v>-0.62258995917584714</v>
      </c>
      <c r="G12" s="21">
        <v>1227</v>
      </c>
      <c r="H12" s="22">
        <v>49</v>
      </c>
      <c r="I12" s="22">
        <f t="shared" si="0"/>
        <v>25.040816326530614</v>
      </c>
      <c r="J12" s="22">
        <v>7</v>
      </c>
      <c r="K12" s="22">
        <v>2</v>
      </c>
      <c r="L12" s="19">
        <v>32653.88</v>
      </c>
      <c r="M12" s="73">
        <v>4814</v>
      </c>
      <c r="N12" s="23">
        <v>45135</v>
      </c>
      <c r="O12" s="35" t="s">
        <v>13</v>
      </c>
      <c r="R12" s="17"/>
    </row>
    <row r="13" spans="1:18" s="24" customFormat="1" ht="25.9" customHeight="1" x14ac:dyDescent="0.2">
      <c r="A13" s="22">
        <v>11</v>
      </c>
      <c r="B13" s="22">
        <v>7</v>
      </c>
      <c r="C13" s="18" t="s">
        <v>223</v>
      </c>
      <c r="D13" s="19">
        <v>7470</v>
      </c>
      <c r="E13" s="19">
        <v>19402.27</v>
      </c>
      <c r="F13" s="20">
        <f>(D13-E13)/E13</f>
        <v>-0.61499350333749614</v>
      </c>
      <c r="G13" s="21">
        <v>1263</v>
      </c>
      <c r="H13" s="22">
        <v>58</v>
      </c>
      <c r="I13" s="22">
        <f t="shared" si="0"/>
        <v>21.775862068965516</v>
      </c>
      <c r="J13" s="22">
        <v>9</v>
      </c>
      <c r="K13" s="22">
        <v>2</v>
      </c>
      <c r="L13" s="19">
        <v>27072.32</v>
      </c>
      <c r="M13" s="73">
        <v>4469</v>
      </c>
      <c r="N13" s="23">
        <v>45135</v>
      </c>
      <c r="O13" s="30" t="s">
        <v>40</v>
      </c>
      <c r="R13" s="17"/>
    </row>
    <row r="14" spans="1:18" s="63" customFormat="1" ht="25.9" customHeight="1" x14ac:dyDescent="0.2">
      <c r="A14" s="22">
        <v>12</v>
      </c>
      <c r="B14" s="11">
        <v>9</v>
      </c>
      <c r="C14" s="7" t="s">
        <v>219</v>
      </c>
      <c r="D14" s="8">
        <v>6694</v>
      </c>
      <c r="E14" s="8">
        <v>14143</v>
      </c>
      <c r="F14" s="9">
        <f>(D14-E14)/E14</f>
        <v>-0.52669164957929715</v>
      </c>
      <c r="G14" s="10">
        <v>1501</v>
      </c>
      <c r="H14" s="11" t="s">
        <v>18</v>
      </c>
      <c r="I14" s="11" t="s">
        <v>18</v>
      </c>
      <c r="J14" s="11">
        <v>12</v>
      </c>
      <c r="K14" s="11">
        <v>3</v>
      </c>
      <c r="L14" s="8">
        <v>47078</v>
      </c>
      <c r="M14" s="76">
        <v>10169</v>
      </c>
      <c r="N14" s="12">
        <v>45128</v>
      </c>
      <c r="O14" s="62" t="s">
        <v>15</v>
      </c>
      <c r="R14" s="6"/>
    </row>
    <row r="15" spans="1:18" s="27" customFormat="1" ht="25.9" customHeight="1" x14ac:dyDescent="0.15">
      <c r="A15" s="22">
        <v>13</v>
      </c>
      <c r="B15" s="22">
        <v>11</v>
      </c>
      <c r="C15" s="18" t="s">
        <v>200</v>
      </c>
      <c r="D15" s="19">
        <v>2775.49</v>
      </c>
      <c r="E15" s="19">
        <v>5483.5</v>
      </c>
      <c r="F15" s="20">
        <f>(D15-E15)/E15</f>
        <v>-0.49384699553205075</v>
      </c>
      <c r="G15" s="21">
        <v>629</v>
      </c>
      <c r="H15" s="22">
        <v>22</v>
      </c>
      <c r="I15" s="22">
        <f t="shared" ref="I15:I34" si="1">G15/H15</f>
        <v>28.59090909090909</v>
      </c>
      <c r="J15" s="22">
        <v>4</v>
      </c>
      <c r="K15" s="22">
        <v>6</v>
      </c>
      <c r="L15" s="19">
        <v>93045.41</v>
      </c>
      <c r="M15" s="73">
        <v>19932</v>
      </c>
      <c r="N15" s="23">
        <v>45107</v>
      </c>
      <c r="O15" s="30" t="s">
        <v>179</v>
      </c>
    </row>
    <row r="16" spans="1:18" s="27" customFormat="1" ht="25.9" customHeight="1" x14ac:dyDescent="0.15">
      <c r="A16" s="22">
        <v>14</v>
      </c>
      <c r="B16" s="20" t="s">
        <v>18</v>
      </c>
      <c r="C16" s="18" t="s">
        <v>159</v>
      </c>
      <c r="D16" s="19">
        <v>1563.5</v>
      </c>
      <c r="E16" s="19" t="s">
        <v>18</v>
      </c>
      <c r="F16" s="20" t="s">
        <v>18</v>
      </c>
      <c r="G16" s="21">
        <v>638</v>
      </c>
      <c r="H16" s="22">
        <v>14</v>
      </c>
      <c r="I16" s="22">
        <f t="shared" si="1"/>
        <v>45.571428571428569</v>
      </c>
      <c r="J16" s="22">
        <v>2</v>
      </c>
      <c r="K16" s="22" t="s">
        <v>18</v>
      </c>
      <c r="L16" s="19">
        <v>1343645.24</v>
      </c>
      <c r="M16" s="73">
        <v>249890</v>
      </c>
      <c r="N16" s="23">
        <v>44743</v>
      </c>
      <c r="O16" s="30" t="s">
        <v>179</v>
      </c>
    </row>
    <row r="17" spans="1:16" s="27" customFormat="1" ht="25.9" customHeight="1" x14ac:dyDescent="0.15">
      <c r="A17" s="22">
        <v>15</v>
      </c>
      <c r="B17" s="22">
        <v>25</v>
      </c>
      <c r="C17" s="18" t="s">
        <v>151</v>
      </c>
      <c r="D17" s="19">
        <v>961.34</v>
      </c>
      <c r="E17" s="19">
        <v>38</v>
      </c>
      <c r="F17" s="20">
        <f>(D17-E17)/E17</f>
        <v>24.298421052631578</v>
      </c>
      <c r="G17" s="21">
        <v>181</v>
      </c>
      <c r="H17" s="22">
        <v>7</v>
      </c>
      <c r="I17" s="22">
        <f t="shared" si="1"/>
        <v>25.857142857142858</v>
      </c>
      <c r="J17" s="22">
        <v>2</v>
      </c>
      <c r="K17" s="22">
        <v>10</v>
      </c>
      <c r="L17" s="19">
        <v>325448.06</v>
      </c>
      <c r="M17" s="73">
        <v>54954</v>
      </c>
      <c r="N17" s="23">
        <v>45079</v>
      </c>
      <c r="O17" s="30" t="s">
        <v>12</v>
      </c>
    </row>
    <row r="18" spans="1:16" ht="25.9" customHeight="1" x14ac:dyDescent="0.15">
      <c r="A18" s="22">
        <v>16</v>
      </c>
      <c r="B18" s="11">
        <v>19</v>
      </c>
      <c r="C18" s="7" t="s">
        <v>36</v>
      </c>
      <c r="D18" s="8">
        <v>859.4</v>
      </c>
      <c r="E18" s="8">
        <v>360.3</v>
      </c>
      <c r="F18" s="9">
        <f>(D18-E18)/E18</f>
        <v>1.385234526783236</v>
      </c>
      <c r="G18" s="10">
        <v>125</v>
      </c>
      <c r="H18" s="11">
        <v>7</v>
      </c>
      <c r="I18" s="11">
        <f t="shared" si="1"/>
        <v>17.857142857142858</v>
      </c>
      <c r="J18" s="11">
        <v>2</v>
      </c>
      <c r="K18" s="11">
        <v>23</v>
      </c>
      <c r="L18" s="8">
        <v>241309.63000000009</v>
      </c>
      <c r="M18" s="76">
        <v>37805</v>
      </c>
      <c r="N18" s="12">
        <v>44988</v>
      </c>
      <c r="O18" s="31" t="s">
        <v>39</v>
      </c>
    </row>
    <row r="19" spans="1:16" ht="25.9" customHeight="1" x14ac:dyDescent="0.15">
      <c r="A19" s="22">
        <v>17</v>
      </c>
      <c r="B19" s="22">
        <v>17</v>
      </c>
      <c r="C19" s="18" t="s">
        <v>171</v>
      </c>
      <c r="D19" s="19">
        <v>804.21</v>
      </c>
      <c r="E19" s="19">
        <v>381.68</v>
      </c>
      <c r="F19" s="20">
        <f>(D19-E19)/E19</f>
        <v>1.1070268287570741</v>
      </c>
      <c r="G19" s="21">
        <v>135</v>
      </c>
      <c r="H19" s="22">
        <v>6</v>
      </c>
      <c r="I19" s="22">
        <f t="shared" si="1"/>
        <v>22.5</v>
      </c>
      <c r="J19" s="22">
        <v>1</v>
      </c>
      <c r="K19" s="22">
        <v>10</v>
      </c>
      <c r="L19" s="19">
        <v>78690.25</v>
      </c>
      <c r="M19" s="73">
        <v>12667</v>
      </c>
      <c r="N19" s="23">
        <v>45079</v>
      </c>
      <c r="O19" s="30" t="s">
        <v>40</v>
      </c>
    </row>
    <row r="20" spans="1:16" s="27" customFormat="1" ht="25.9" customHeight="1" x14ac:dyDescent="0.15">
      <c r="A20" s="22">
        <v>18</v>
      </c>
      <c r="B20" s="20" t="s">
        <v>18</v>
      </c>
      <c r="C20" s="18" t="s">
        <v>240</v>
      </c>
      <c r="D20" s="19">
        <v>530.9</v>
      </c>
      <c r="E20" s="19" t="s">
        <v>18</v>
      </c>
      <c r="F20" s="20" t="s">
        <v>18</v>
      </c>
      <c r="G20" s="21">
        <v>221</v>
      </c>
      <c r="H20" s="22">
        <v>14</v>
      </c>
      <c r="I20" s="22">
        <f t="shared" si="1"/>
        <v>15.785714285714286</v>
      </c>
      <c r="J20" s="22">
        <v>2</v>
      </c>
      <c r="K20" s="22" t="s">
        <v>18</v>
      </c>
      <c r="L20" s="19">
        <v>423691.57</v>
      </c>
      <c r="M20" s="73">
        <v>83407</v>
      </c>
      <c r="N20" s="78">
        <v>44652</v>
      </c>
      <c r="O20" s="30" t="s">
        <v>180</v>
      </c>
    </row>
    <row r="21" spans="1:16" s="27" customFormat="1" ht="25.9" customHeight="1" x14ac:dyDescent="0.15">
      <c r="A21" s="22">
        <v>19</v>
      </c>
      <c r="B21" s="11">
        <v>12</v>
      </c>
      <c r="C21" s="7" t="s">
        <v>234</v>
      </c>
      <c r="D21" s="8">
        <v>523</v>
      </c>
      <c r="E21" s="8">
        <v>3121.66</v>
      </c>
      <c r="F21" s="9">
        <f>(D21-E21)/E21</f>
        <v>-0.83246093424652268</v>
      </c>
      <c r="G21" s="10">
        <v>112</v>
      </c>
      <c r="H21" s="11">
        <v>17</v>
      </c>
      <c r="I21" s="11">
        <f t="shared" si="1"/>
        <v>6.5882352941176467</v>
      </c>
      <c r="J21" s="11">
        <v>3</v>
      </c>
      <c r="K21" s="11">
        <v>2</v>
      </c>
      <c r="L21" s="8">
        <v>3644.66</v>
      </c>
      <c r="M21" s="76">
        <v>785</v>
      </c>
      <c r="N21" s="12">
        <v>45135</v>
      </c>
      <c r="O21" s="62" t="s">
        <v>48</v>
      </c>
    </row>
    <row r="22" spans="1:16" s="27" customFormat="1" ht="25.9" customHeight="1" x14ac:dyDescent="0.2">
      <c r="A22" s="22">
        <v>20</v>
      </c>
      <c r="B22" s="20" t="s">
        <v>18</v>
      </c>
      <c r="C22" s="7" t="s">
        <v>174</v>
      </c>
      <c r="D22" s="8">
        <v>295</v>
      </c>
      <c r="E22" s="19" t="s">
        <v>18</v>
      </c>
      <c r="F22" s="20" t="s">
        <v>18</v>
      </c>
      <c r="G22" s="10">
        <v>60</v>
      </c>
      <c r="H22" s="11">
        <v>2</v>
      </c>
      <c r="I22" s="11">
        <f t="shared" si="1"/>
        <v>30</v>
      </c>
      <c r="J22" s="11">
        <v>1</v>
      </c>
      <c r="K22" s="11" t="s">
        <v>18</v>
      </c>
      <c r="L22" s="19">
        <v>56268.78</v>
      </c>
      <c r="M22" s="73">
        <v>9054</v>
      </c>
      <c r="N22" s="12">
        <v>45086</v>
      </c>
      <c r="O22" s="31" t="s">
        <v>179</v>
      </c>
      <c r="P22" s="72"/>
    </row>
    <row r="23" spans="1:16" s="27" customFormat="1" ht="25.9" customHeight="1" x14ac:dyDescent="0.2">
      <c r="A23" s="22">
        <v>21</v>
      </c>
      <c r="B23" s="20" t="s">
        <v>18</v>
      </c>
      <c r="C23" s="7" t="s">
        <v>142</v>
      </c>
      <c r="D23" s="8">
        <v>167</v>
      </c>
      <c r="E23" s="19" t="s">
        <v>18</v>
      </c>
      <c r="F23" s="20" t="s">
        <v>18</v>
      </c>
      <c r="G23" s="10">
        <v>31</v>
      </c>
      <c r="H23" s="11">
        <v>1</v>
      </c>
      <c r="I23" s="11">
        <f t="shared" si="1"/>
        <v>31</v>
      </c>
      <c r="J23" s="11">
        <v>1</v>
      </c>
      <c r="K23" s="11" t="s">
        <v>18</v>
      </c>
      <c r="L23" s="19">
        <v>8889.4</v>
      </c>
      <c r="M23" s="73">
        <v>1558</v>
      </c>
      <c r="N23" s="12">
        <v>45065</v>
      </c>
      <c r="O23" s="31" t="s">
        <v>40</v>
      </c>
      <c r="P23" s="72"/>
    </row>
    <row r="24" spans="1:16" s="27" customFormat="1" ht="25.9" customHeight="1" x14ac:dyDescent="0.2">
      <c r="A24" s="22">
        <v>22</v>
      </c>
      <c r="B24" s="20" t="s">
        <v>18</v>
      </c>
      <c r="C24" s="7" t="s">
        <v>218</v>
      </c>
      <c r="D24" s="8">
        <v>135</v>
      </c>
      <c r="E24" s="19" t="s">
        <v>18</v>
      </c>
      <c r="F24" s="20" t="s">
        <v>18</v>
      </c>
      <c r="G24" s="10">
        <v>21</v>
      </c>
      <c r="H24" s="11">
        <v>1</v>
      </c>
      <c r="I24" s="11">
        <f t="shared" si="1"/>
        <v>21</v>
      </c>
      <c r="J24" s="11">
        <v>1</v>
      </c>
      <c r="K24" s="22" t="s">
        <v>18</v>
      </c>
      <c r="L24" s="19">
        <v>2638</v>
      </c>
      <c r="M24" s="73">
        <v>507</v>
      </c>
      <c r="N24" s="12">
        <v>44316</v>
      </c>
      <c r="O24" s="62" t="s">
        <v>68</v>
      </c>
      <c r="P24" s="77"/>
    </row>
    <row r="25" spans="1:16" s="27" customFormat="1" ht="25.9" customHeight="1" x14ac:dyDescent="0.2">
      <c r="A25" s="22">
        <v>23</v>
      </c>
      <c r="B25" s="20" t="s">
        <v>18</v>
      </c>
      <c r="C25" s="18" t="s">
        <v>75</v>
      </c>
      <c r="D25" s="19">
        <v>122</v>
      </c>
      <c r="E25" s="19" t="s">
        <v>18</v>
      </c>
      <c r="F25" s="20" t="s">
        <v>18</v>
      </c>
      <c r="G25" s="21">
        <v>18</v>
      </c>
      <c r="H25" s="22">
        <v>1</v>
      </c>
      <c r="I25" s="22">
        <f t="shared" si="1"/>
        <v>18</v>
      </c>
      <c r="J25" s="22">
        <v>1</v>
      </c>
      <c r="K25" s="22" t="s">
        <v>18</v>
      </c>
      <c r="L25" s="19">
        <v>9591</v>
      </c>
      <c r="M25" s="73">
        <v>1665</v>
      </c>
      <c r="N25" s="23">
        <v>45012</v>
      </c>
      <c r="O25" s="35" t="s">
        <v>68</v>
      </c>
      <c r="P25" s="72"/>
    </row>
    <row r="26" spans="1:16" s="27" customFormat="1" ht="25.9" customHeight="1" x14ac:dyDescent="0.2">
      <c r="A26" s="22">
        <v>24</v>
      </c>
      <c r="B26" s="20" t="s">
        <v>18</v>
      </c>
      <c r="C26" s="18" t="s">
        <v>241</v>
      </c>
      <c r="D26" s="19">
        <v>79</v>
      </c>
      <c r="E26" s="19" t="s">
        <v>18</v>
      </c>
      <c r="F26" s="20" t="s">
        <v>18</v>
      </c>
      <c r="G26" s="21">
        <v>16</v>
      </c>
      <c r="H26" s="22">
        <v>2</v>
      </c>
      <c r="I26" s="22">
        <f t="shared" si="1"/>
        <v>8</v>
      </c>
      <c r="J26" s="22">
        <v>1</v>
      </c>
      <c r="K26" s="22" t="s">
        <v>18</v>
      </c>
      <c r="L26" s="19">
        <v>259</v>
      </c>
      <c r="M26" s="73">
        <v>54</v>
      </c>
      <c r="N26" s="23">
        <v>45001</v>
      </c>
      <c r="O26" s="35" t="s">
        <v>68</v>
      </c>
      <c r="P26" s="72"/>
    </row>
    <row r="27" spans="1:16" s="27" customFormat="1" ht="25.9" customHeight="1" x14ac:dyDescent="0.2">
      <c r="A27" s="22">
        <v>25</v>
      </c>
      <c r="B27" s="11">
        <v>23</v>
      </c>
      <c r="C27" s="7" t="s">
        <v>146</v>
      </c>
      <c r="D27" s="8">
        <v>75.7</v>
      </c>
      <c r="E27" s="8">
        <v>173.6</v>
      </c>
      <c r="F27" s="9">
        <f>(D27-E27)/E27</f>
        <v>-0.56394009216589858</v>
      </c>
      <c r="G27" s="10">
        <v>11</v>
      </c>
      <c r="H27" s="11">
        <v>2</v>
      </c>
      <c r="I27" s="11">
        <f t="shared" si="1"/>
        <v>5.5</v>
      </c>
      <c r="J27" s="11">
        <v>1</v>
      </c>
      <c r="K27" s="11">
        <v>10</v>
      </c>
      <c r="L27" s="8">
        <v>8893.2000000000007</v>
      </c>
      <c r="M27" s="76">
        <v>1373</v>
      </c>
      <c r="N27" s="12">
        <v>45079</v>
      </c>
      <c r="O27" s="31" t="s">
        <v>16</v>
      </c>
      <c r="P27" s="77"/>
    </row>
    <row r="28" spans="1:16" s="27" customFormat="1" ht="25.9" customHeight="1" x14ac:dyDescent="0.2">
      <c r="A28" s="22">
        <v>26</v>
      </c>
      <c r="B28" s="22">
        <v>13</v>
      </c>
      <c r="C28" s="18" t="s">
        <v>199</v>
      </c>
      <c r="D28" s="19">
        <v>75</v>
      </c>
      <c r="E28" s="19">
        <v>2084.61</v>
      </c>
      <c r="F28" s="20">
        <f>(D28-E28)/E28</f>
        <v>-0.96402204728942109</v>
      </c>
      <c r="G28" s="21">
        <v>21</v>
      </c>
      <c r="H28" s="22">
        <v>4</v>
      </c>
      <c r="I28" s="22">
        <f t="shared" si="1"/>
        <v>5.25</v>
      </c>
      <c r="J28" s="22">
        <v>1</v>
      </c>
      <c r="K28" s="22">
        <v>6</v>
      </c>
      <c r="L28" s="19">
        <v>114182.14</v>
      </c>
      <c r="M28" s="73">
        <v>16885</v>
      </c>
      <c r="N28" s="23">
        <v>45107</v>
      </c>
      <c r="O28" s="30" t="s">
        <v>40</v>
      </c>
      <c r="P28" s="77"/>
    </row>
    <row r="29" spans="1:16" s="27" customFormat="1" ht="25.9" customHeight="1" x14ac:dyDescent="0.2">
      <c r="A29" s="22">
        <v>27</v>
      </c>
      <c r="B29" s="20" t="s">
        <v>18</v>
      </c>
      <c r="C29" s="7" t="s">
        <v>237</v>
      </c>
      <c r="D29" s="8">
        <v>72.099999999999994</v>
      </c>
      <c r="E29" s="19" t="s">
        <v>18</v>
      </c>
      <c r="F29" s="20" t="s">
        <v>18</v>
      </c>
      <c r="G29" s="10">
        <v>10</v>
      </c>
      <c r="H29" s="11">
        <v>1</v>
      </c>
      <c r="I29" s="11">
        <f t="shared" si="1"/>
        <v>10</v>
      </c>
      <c r="J29" s="11">
        <v>1</v>
      </c>
      <c r="K29" s="11" t="s">
        <v>18</v>
      </c>
      <c r="L29" s="8">
        <v>41350.18</v>
      </c>
      <c r="M29" s="76">
        <v>6998</v>
      </c>
      <c r="N29" s="12">
        <v>44678</v>
      </c>
      <c r="O29" s="62" t="s">
        <v>16</v>
      </c>
      <c r="P29" s="77"/>
    </row>
    <row r="30" spans="1:16" s="27" customFormat="1" ht="25.9" customHeight="1" x14ac:dyDescent="0.2">
      <c r="A30" s="22">
        <v>28</v>
      </c>
      <c r="B30" s="20" t="s">
        <v>18</v>
      </c>
      <c r="C30" s="18" t="s">
        <v>38</v>
      </c>
      <c r="D30" s="19">
        <v>66</v>
      </c>
      <c r="E30" s="19" t="s">
        <v>18</v>
      </c>
      <c r="F30" s="20" t="s">
        <v>18</v>
      </c>
      <c r="G30" s="21">
        <v>13</v>
      </c>
      <c r="H30" s="22">
        <v>1</v>
      </c>
      <c r="I30" s="22">
        <f t="shared" si="1"/>
        <v>13</v>
      </c>
      <c r="J30" s="22">
        <v>1</v>
      </c>
      <c r="K30" s="22" t="s">
        <v>18</v>
      </c>
      <c r="L30" s="19">
        <v>35578.9</v>
      </c>
      <c r="M30" s="73">
        <v>5717</v>
      </c>
      <c r="N30" s="23">
        <v>44960</v>
      </c>
      <c r="O30" s="35" t="s">
        <v>40</v>
      </c>
      <c r="P30" s="77"/>
    </row>
    <row r="31" spans="1:16" s="27" customFormat="1" ht="25.9" customHeight="1" x14ac:dyDescent="0.2">
      <c r="A31" s="22">
        <v>29</v>
      </c>
      <c r="B31" s="20" t="s">
        <v>18</v>
      </c>
      <c r="C31" s="7" t="s">
        <v>90</v>
      </c>
      <c r="D31" s="8">
        <v>65.2</v>
      </c>
      <c r="E31" s="20" t="s">
        <v>18</v>
      </c>
      <c r="F31" s="20" t="s">
        <v>18</v>
      </c>
      <c r="G31" s="10">
        <v>15</v>
      </c>
      <c r="H31" s="11">
        <v>2</v>
      </c>
      <c r="I31" s="11">
        <f t="shared" si="1"/>
        <v>7.5</v>
      </c>
      <c r="J31" s="11">
        <v>1</v>
      </c>
      <c r="K31" s="20" t="s">
        <v>18</v>
      </c>
      <c r="L31" s="19">
        <v>45628.039999999994</v>
      </c>
      <c r="M31" s="73">
        <v>9486</v>
      </c>
      <c r="N31" s="12">
        <v>45044</v>
      </c>
      <c r="O31" s="62" t="s">
        <v>16</v>
      </c>
      <c r="P31" s="77"/>
    </row>
    <row r="32" spans="1:16" s="27" customFormat="1" ht="25.9" customHeight="1" x14ac:dyDescent="0.2">
      <c r="A32" s="22">
        <v>30</v>
      </c>
      <c r="B32" s="20" t="s">
        <v>18</v>
      </c>
      <c r="C32" s="18" t="s">
        <v>67</v>
      </c>
      <c r="D32" s="19">
        <v>58</v>
      </c>
      <c r="E32" s="19" t="s">
        <v>18</v>
      </c>
      <c r="F32" s="20" t="s">
        <v>18</v>
      </c>
      <c r="G32" s="21">
        <v>11</v>
      </c>
      <c r="H32" s="22">
        <v>1</v>
      </c>
      <c r="I32" s="22">
        <f t="shared" si="1"/>
        <v>11</v>
      </c>
      <c r="J32" s="22">
        <v>1</v>
      </c>
      <c r="K32" s="22" t="s">
        <v>18</v>
      </c>
      <c r="L32" s="19">
        <v>46913</v>
      </c>
      <c r="M32" s="73">
        <v>7539</v>
      </c>
      <c r="N32" s="23">
        <v>45012</v>
      </c>
      <c r="O32" s="35" t="s">
        <v>68</v>
      </c>
      <c r="P32" s="77"/>
    </row>
    <row r="33" spans="1:16" s="27" customFormat="1" ht="25.9" customHeight="1" x14ac:dyDescent="0.2">
      <c r="A33" s="22">
        <v>31</v>
      </c>
      <c r="B33" s="20" t="s">
        <v>18</v>
      </c>
      <c r="C33" s="7" t="s">
        <v>79</v>
      </c>
      <c r="D33" s="8">
        <v>22.2</v>
      </c>
      <c r="E33" s="19" t="s">
        <v>18</v>
      </c>
      <c r="F33" s="20" t="s">
        <v>18</v>
      </c>
      <c r="G33" s="10">
        <v>3</v>
      </c>
      <c r="H33" s="11">
        <v>1</v>
      </c>
      <c r="I33" s="11">
        <f t="shared" si="1"/>
        <v>3</v>
      </c>
      <c r="J33" s="11">
        <v>1</v>
      </c>
      <c r="K33" s="22" t="s">
        <v>18</v>
      </c>
      <c r="L33" s="19">
        <v>28173.64</v>
      </c>
      <c r="M33" s="73">
        <v>4526</v>
      </c>
      <c r="N33" s="12">
        <v>45012</v>
      </c>
      <c r="O33" s="62" t="s">
        <v>68</v>
      </c>
      <c r="P33" s="77"/>
    </row>
    <row r="34" spans="1:16" s="27" customFormat="1" ht="25.9" customHeight="1" x14ac:dyDescent="0.2">
      <c r="A34" s="22">
        <v>32</v>
      </c>
      <c r="B34" s="22">
        <v>26</v>
      </c>
      <c r="C34" s="18" t="s">
        <v>196</v>
      </c>
      <c r="D34" s="19">
        <v>8</v>
      </c>
      <c r="E34" s="19">
        <v>10</v>
      </c>
      <c r="F34" s="20">
        <f>(D34-E34)/E34</f>
        <v>-0.2</v>
      </c>
      <c r="G34" s="21">
        <v>2</v>
      </c>
      <c r="H34" s="22">
        <v>1</v>
      </c>
      <c r="I34" s="22">
        <f t="shared" si="1"/>
        <v>2</v>
      </c>
      <c r="J34" s="22">
        <v>1</v>
      </c>
      <c r="K34" s="22">
        <v>7</v>
      </c>
      <c r="L34" s="19">
        <v>1448.4</v>
      </c>
      <c r="M34" s="73">
        <v>248</v>
      </c>
      <c r="N34" s="23">
        <v>45106</v>
      </c>
      <c r="O34" s="30" t="s">
        <v>30</v>
      </c>
      <c r="P34" s="77"/>
    </row>
    <row r="35" spans="1:16" s="45" customFormat="1" ht="25.9" customHeight="1" x14ac:dyDescent="0.2">
      <c r="A35" s="67"/>
      <c r="B35" s="67"/>
      <c r="C35" s="46" t="s">
        <v>242</v>
      </c>
      <c r="D35" s="47">
        <f>SUBTOTAL(109,Table132458791011121314151617[Pajamos 
(GBO)])</f>
        <v>578175.93999999983</v>
      </c>
      <c r="E35" s="47" t="s">
        <v>243</v>
      </c>
      <c r="F35" s="42">
        <f t="shared" ref="F35" si="2">(D35-E35)/E35</f>
        <v>-0.20362537706092226</v>
      </c>
      <c r="G35" s="43">
        <f>SUBTOTAL(109,Table132458791011121314151617[Žiūrovų sk. 
(ADM)])</f>
        <v>90357</v>
      </c>
      <c r="H35" s="51"/>
      <c r="I35" s="46"/>
      <c r="J35" s="51"/>
      <c r="K35" s="46"/>
      <c r="L35" s="53"/>
      <c r="M35" s="55"/>
      <c r="N35" s="60"/>
      <c r="O35" s="46"/>
    </row>
    <row r="36" spans="1:16" hidden="1" x14ac:dyDescent="0.15">
      <c r="A36" s="1"/>
      <c r="B36" s="1"/>
      <c r="D36" s="1"/>
      <c r="E36" s="1"/>
      <c r="G36" s="1"/>
      <c r="H36" s="1"/>
      <c r="J36" s="1"/>
      <c r="K36" s="1"/>
      <c r="L36" s="1"/>
      <c r="M36" s="1"/>
      <c r="N36" s="1"/>
    </row>
    <row r="37" spans="1:16" hidden="1" x14ac:dyDescent="0.15">
      <c r="A37" s="1"/>
      <c r="B37" s="1"/>
      <c r="D37" s="1"/>
      <c r="E37" s="1"/>
      <c r="G37" s="1"/>
      <c r="H37" s="1"/>
      <c r="J37" s="1"/>
      <c r="K37" s="1"/>
      <c r="L37" s="1"/>
      <c r="M37" s="1"/>
      <c r="N37" s="1"/>
    </row>
    <row r="38" spans="1:16" hidden="1" x14ac:dyDescent="0.15">
      <c r="A38" s="1"/>
      <c r="B38" s="1"/>
      <c r="D38" s="1"/>
      <c r="E38" s="1"/>
      <c r="G38" s="1"/>
      <c r="H38" s="1"/>
      <c r="J38" s="1"/>
      <c r="K38" s="1"/>
      <c r="L38" s="1"/>
      <c r="M38" s="1"/>
      <c r="N38" s="1"/>
    </row>
    <row r="39" spans="1:16" hidden="1" x14ac:dyDescent="0.15">
      <c r="A39" s="1"/>
      <c r="B39" s="1"/>
      <c r="D39" s="1"/>
      <c r="E39" s="1"/>
      <c r="G39" s="1"/>
      <c r="H39" s="1"/>
      <c r="J39" s="1"/>
      <c r="K39" s="1"/>
      <c r="L39" s="1"/>
      <c r="M39" s="1"/>
      <c r="N39" s="1"/>
    </row>
    <row r="40" spans="1:16" hidden="1" x14ac:dyDescent="0.15">
      <c r="A40" s="1"/>
      <c r="B40" s="1"/>
      <c r="D40" s="1"/>
      <c r="G40" s="1"/>
      <c r="H40" s="1"/>
      <c r="J40" s="1"/>
      <c r="K40" s="1"/>
      <c r="L40" s="1"/>
      <c r="M40" s="1"/>
      <c r="N40" s="1"/>
    </row>
    <row r="41" spans="1:16" hidden="1" x14ac:dyDescent="0.15">
      <c r="A41" s="1"/>
      <c r="B41" s="1"/>
      <c r="D41" s="1"/>
      <c r="E41" s="1"/>
      <c r="G41" s="1"/>
      <c r="H41" s="1"/>
      <c r="J41" s="1"/>
      <c r="K41" s="1"/>
      <c r="L41" s="1"/>
      <c r="M41" s="1"/>
      <c r="N41" s="1"/>
    </row>
    <row r="42" spans="1:16" hidden="1" x14ac:dyDescent="0.15">
      <c r="A42" s="1"/>
      <c r="B42" s="1"/>
      <c r="D42" s="1"/>
      <c r="E42" s="1"/>
      <c r="G42" s="1"/>
      <c r="H42" s="1"/>
      <c r="J42" s="1"/>
      <c r="K42" s="1"/>
      <c r="L42" s="1"/>
      <c r="M42" s="1"/>
      <c r="N42" s="1"/>
    </row>
    <row r="43" spans="1:16" hidden="1" x14ac:dyDescent="0.15">
      <c r="A43" s="1"/>
      <c r="B43" s="1"/>
      <c r="D43" s="1"/>
      <c r="E43" s="1"/>
      <c r="G43" s="1"/>
      <c r="H43" s="1"/>
      <c r="J43" s="1"/>
      <c r="K43" s="1"/>
      <c r="L43" s="1"/>
      <c r="M43" s="1"/>
      <c r="N43" s="1"/>
    </row>
    <row r="44" spans="1:16" hidden="1" x14ac:dyDescent="0.15">
      <c r="A44" s="1"/>
      <c r="B44" s="1"/>
      <c r="D44" s="1"/>
      <c r="E44" s="1"/>
      <c r="G44" s="1"/>
      <c r="H44" s="1"/>
      <c r="J44" s="1"/>
      <c r="K44" s="1"/>
      <c r="L44" s="1"/>
      <c r="M44" s="1"/>
      <c r="N44" s="1"/>
    </row>
    <row r="45" spans="1:16" hidden="1" x14ac:dyDescent="0.15">
      <c r="A45" s="1"/>
      <c r="B45" s="1"/>
      <c r="D45" s="1"/>
      <c r="E45" s="1"/>
      <c r="G45" s="1"/>
      <c r="H45" s="1"/>
      <c r="J45" s="1"/>
      <c r="K45" s="1"/>
      <c r="L45" s="1"/>
      <c r="M45" s="1"/>
      <c r="N45" s="1"/>
    </row>
    <row r="46" spans="1:16" hidden="1" x14ac:dyDescent="0.15">
      <c r="A46" s="1"/>
      <c r="B46" s="1"/>
      <c r="D46" s="1"/>
      <c r="E46" s="1"/>
      <c r="G46" s="1"/>
      <c r="H46" s="1"/>
      <c r="J46" s="1"/>
      <c r="K46" s="1"/>
      <c r="L46" s="1"/>
      <c r="M46" s="1"/>
      <c r="N46" s="1"/>
    </row>
    <row r="47" spans="1:16" hidden="1" x14ac:dyDescent="0.15">
      <c r="A47" s="1"/>
      <c r="B47" s="1"/>
      <c r="D47" s="1"/>
      <c r="E47" s="1"/>
      <c r="G47" s="1"/>
      <c r="H47" s="1"/>
      <c r="J47" s="1"/>
      <c r="K47" s="1"/>
      <c r="L47" s="1"/>
      <c r="M47" s="1"/>
      <c r="N47" s="1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34AD5-CF6C-4447-80FF-55A8FC01565B}">
  <dimension ref="A1:XFC43"/>
  <sheetViews>
    <sheetView topLeftCell="A4" zoomScale="60" zoomScaleNormal="60" workbookViewId="0">
      <selection activeCell="B16" sqref="B16:O16"/>
    </sheetView>
  </sheetViews>
  <sheetFormatPr defaultColWidth="0" defaultRowHeight="11.25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8" width="20.7109375" style="38" customWidth="1"/>
    <col min="9" max="9" width="20.7109375" style="1" customWidth="1"/>
    <col min="10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228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15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5" customHeight="1" x14ac:dyDescent="0.2">
      <c r="A3" s="11">
        <v>1</v>
      </c>
      <c r="B3" s="22">
        <v>2</v>
      </c>
      <c r="C3" s="7" t="s">
        <v>222</v>
      </c>
      <c r="D3" s="8">
        <v>273168.48</v>
      </c>
      <c r="E3" s="19">
        <v>289263.37</v>
      </c>
      <c r="F3" s="20">
        <f t="shared" ref="F3:F11" si="0">(D3-E3)/E3</f>
        <v>-5.564095446996975E-2</v>
      </c>
      <c r="G3" s="10">
        <v>36825</v>
      </c>
      <c r="H3" s="11">
        <v>331</v>
      </c>
      <c r="I3" s="11">
        <f t="shared" ref="I3:I10" si="1">G3/H3</f>
        <v>111.25377643504531</v>
      </c>
      <c r="J3" s="11">
        <v>17</v>
      </c>
      <c r="K3" s="11">
        <v>2</v>
      </c>
      <c r="L3" s="19">
        <v>562323</v>
      </c>
      <c r="M3" s="73">
        <v>80045</v>
      </c>
      <c r="N3" s="12">
        <v>45128</v>
      </c>
      <c r="O3" s="30" t="s">
        <v>179</v>
      </c>
    </row>
    <row r="4" spans="1:18" s="24" customFormat="1" ht="25.9" customHeight="1" x14ac:dyDescent="0.2">
      <c r="A4" s="22">
        <v>2</v>
      </c>
      <c r="B4" s="22">
        <v>1</v>
      </c>
      <c r="C4" s="18" t="s">
        <v>213</v>
      </c>
      <c r="D4" s="19">
        <v>268156.40999999997</v>
      </c>
      <c r="E4" s="19">
        <v>431659.73</v>
      </c>
      <c r="F4" s="20">
        <f t="shared" si="0"/>
        <v>-0.37877825666063408</v>
      </c>
      <c r="G4" s="21">
        <v>40924</v>
      </c>
      <c r="H4" s="22">
        <v>395</v>
      </c>
      <c r="I4" s="22">
        <f t="shared" si="1"/>
        <v>103.60506329113925</v>
      </c>
      <c r="J4" s="22">
        <v>18</v>
      </c>
      <c r="K4" s="22">
        <v>2</v>
      </c>
      <c r="L4" s="19">
        <v>735942.09</v>
      </c>
      <c r="M4" s="73">
        <v>109161</v>
      </c>
      <c r="N4" s="23">
        <v>45128</v>
      </c>
      <c r="O4" s="35" t="s">
        <v>14</v>
      </c>
    </row>
    <row r="5" spans="1:18" s="24" customFormat="1" ht="25.9" customHeight="1" x14ac:dyDescent="0.2">
      <c r="A5" s="22">
        <v>3</v>
      </c>
      <c r="B5" s="22">
        <v>6</v>
      </c>
      <c r="C5" s="18" t="s">
        <v>181</v>
      </c>
      <c r="D5" s="19">
        <v>34028.44</v>
      </c>
      <c r="E5" s="19">
        <v>32375.64</v>
      </c>
      <c r="F5" s="20">
        <f t="shared" si="0"/>
        <v>5.1050728263595808E-2</v>
      </c>
      <c r="G5" s="21">
        <v>6763</v>
      </c>
      <c r="H5" s="22">
        <v>129</v>
      </c>
      <c r="I5" s="22">
        <f t="shared" si="1"/>
        <v>52.426356589147289</v>
      </c>
      <c r="J5" s="22">
        <v>12</v>
      </c>
      <c r="K5" s="22">
        <v>7</v>
      </c>
      <c r="L5" s="19">
        <v>393280</v>
      </c>
      <c r="M5" s="73">
        <v>77662</v>
      </c>
      <c r="N5" s="23">
        <v>45093</v>
      </c>
      <c r="O5" s="30" t="s">
        <v>40</v>
      </c>
      <c r="R5" s="17"/>
    </row>
    <row r="6" spans="1:18" s="24" customFormat="1" ht="25.9" customHeight="1" x14ac:dyDescent="0.2">
      <c r="A6" s="11">
        <v>4</v>
      </c>
      <c r="B6" s="22">
        <v>3</v>
      </c>
      <c r="C6" s="18" t="s">
        <v>198</v>
      </c>
      <c r="D6" s="19">
        <v>29124.38</v>
      </c>
      <c r="E6" s="19">
        <v>53739.82</v>
      </c>
      <c r="F6" s="20">
        <f t="shared" si="0"/>
        <v>-0.45804842666015627</v>
      </c>
      <c r="G6" s="21">
        <v>6020</v>
      </c>
      <c r="H6" s="22">
        <v>206</v>
      </c>
      <c r="I6" s="22">
        <f t="shared" si="1"/>
        <v>29.223300970873787</v>
      </c>
      <c r="J6" s="22">
        <v>14</v>
      </c>
      <c r="K6" s="22">
        <v>3</v>
      </c>
      <c r="L6" s="19">
        <v>155855.22</v>
      </c>
      <c r="M6" s="73">
        <v>31111</v>
      </c>
      <c r="N6" s="23">
        <v>45121</v>
      </c>
      <c r="O6" s="35" t="s">
        <v>13</v>
      </c>
      <c r="R6" s="17"/>
    </row>
    <row r="7" spans="1:18" s="24" customFormat="1" ht="25.9" customHeight="1" x14ac:dyDescent="0.2">
      <c r="A7" s="22">
        <v>5</v>
      </c>
      <c r="B7" s="22">
        <v>4</v>
      </c>
      <c r="C7" s="18" t="s">
        <v>209</v>
      </c>
      <c r="D7" s="19">
        <v>25556.52</v>
      </c>
      <c r="E7" s="19">
        <v>44962.19</v>
      </c>
      <c r="F7" s="20">
        <f t="shared" si="0"/>
        <v>-0.43159975081284968</v>
      </c>
      <c r="G7" s="21">
        <v>3874</v>
      </c>
      <c r="H7" s="22">
        <v>104</v>
      </c>
      <c r="I7" s="22">
        <f t="shared" si="1"/>
        <v>37.25</v>
      </c>
      <c r="J7" s="22">
        <v>11</v>
      </c>
      <c r="K7" s="22">
        <v>3</v>
      </c>
      <c r="L7" s="19">
        <v>157580</v>
      </c>
      <c r="M7" s="73">
        <v>22787</v>
      </c>
      <c r="N7" s="23">
        <v>45121</v>
      </c>
      <c r="O7" s="30" t="s">
        <v>180</v>
      </c>
      <c r="R7" s="17"/>
    </row>
    <row r="8" spans="1:18" s="24" customFormat="1" ht="25.5" customHeight="1" x14ac:dyDescent="0.2">
      <c r="A8" s="22">
        <v>6</v>
      </c>
      <c r="B8" s="22" t="s">
        <v>31</v>
      </c>
      <c r="C8" s="7" t="s">
        <v>221</v>
      </c>
      <c r="D8" s="8">
        <v>22425.45</v>
      </c>
      <c r="E8" s="19" t="s">
        <v>18</v>
      </c>
      <c r="F8" s="20" t="s">
        <v>18</v>
      </c>
      <c r="G8" s="10">
        <v>3297</v>
      </c>
      <c r="H8" s="11">
        <v>133</v>
      </c>
      <c r="I8" s="11">
        <f t="shared" si="1"/>
        <v>24.789473684210527</v>
      </c>
      <c r="J8" s="11">
        <v>12</v>
      </c>
      <c r="K8" s="11">
        <v>1</v>
      </c>
      <c r="L8" s="19">
        <v>24022.79</v>
      </c>
      <c r="M8" s="73">
        <v>3550</v>
      </c>
      <c r="N8" s="12">
        <v>45135</v>
      </c>
      <c r="O8" s="62" t="s">
        <v>13</v>
      </c>
      <c r="R8" s="17"/>
    </row>
    <row r="9" spans="1:18" s="24" customFormat="1" ht="25.5" customHeight="1" x14ac:dyDescent="0.2">
      <c r="A9" s="11">
        <v>7</v>
      </c>
      <c r="B9" s="22" t="s">
        <v>31</v>
      </c>
      <c r="C9" s="7" t="s">
        <v>223</v>
      </c>
      <c r="D9" s="8">
        <v>19402.27</v>
      </c>
      <c r="E9" s="19" t="s">
        <v>18</v>
      </c>
      <c r="F9" s="20" t="s">
        <v>18</v>
      </c>
      <c r="G9" s="10">
        <v>3173</v>
      </c>
      <c r="H9" s="11">
        <v>150</v>
      </c>
      <c r="I9" s="11">
        <f t="shared" si="1"/>
        <v>21.153333333333332</v>
      </c>
      <c r="J9" s="11">
        <v>13</v>
      </c>
      <c r="K9" s="11">
        <v>1</v>
      </c>
      <c r="L9" s="19">
        <v>19602</v>
      </c>
      <c r="M9" s="73">
        <v>3206</v>
      </c>
      <c r="N9" s="12">
        <v>45135</v>
      </c>
      <c r="O9" s="30" t="s">
        <v>40</v>
      </c>
      <c r="R9" s="17"/>
    </row>
    <row r="10" spans="1:18" s="24" customFormat="1" ht="25.9" customHeight="1" x14ac:dyDescent="0.2">
      <c r="A10" s="22">
        <v>8</v>
      </c>
      <c r="B10" s="22">
        <v>5</v>
      </c>
      <c r="C10" s="18" t="s">
        <v>203</v>
      </c>
      <c r="D10" s="19">
        <v>17822.439999999999</v>
      </c>
      <c r="E10" s="19">
        <v>35659.43</v>
      </c>
      <c r="F10" s="20">
        <f t="shared" si="0"/>
        <v>-0.50020401335635489</v>
      </c>
      <c r="G10" s="21">
        <v>2486</v>
      </c>
      <c r="H10" s="22">
        <v>7</v>
      </c>
      <c r="I10" s="22">
        <f t="shared" si="1"/>
        <v>355.14285714285717</v>
      </c>
      <c r="J10" s="22">
        <v>58</v>
      </c>
      <c r="K10" s="22">
        <v>4</v>
      </c>
      <c r="L10" s="19">
        <v>196073.83</v>
      </c>
      <c r="M10" s="73">
        <v>27609</v>
      </c>
      <c r="N10" s="23">
        <v>45114</v>
      </c>
      <c r="O10" s="30" t="s">
        <v>12</v>
      </c>
      <c r="R10" s="17"/>
    </row>
    <row r="11" spans="1:18" s="24" customFormat="1" ht="25.9" customHeight="1" x14ac:dyDescent="0.2">
      <c r="A11" s="22">
        <v>9</v>
      </c>
      <c r="B11" s="22">
        <v>7</v>
      </c>
      <c r="C11" s="7" t="s">
        <v>219</v>
      </c>
      <c r="D11" s="8">
        <v>14143</v>
      </c>
      <c r="E11" s="19">
        <v>26241</v>
      </c>
      <c r="F11" s="20">
        <f t="shared" si="0"/>
        <v>-0.46103425936511566</v>
      </c>
      <c r="G11" s="10">
        <v>3024</v>
      </c>
      <c r="H11" s="11" t="s">
        <v>18</v>
      </c>
      <c r="I11" s="11" t="s">
        <v>18</v>
      </c>
      <c r="J11" s="11">
        <v>13</v>
      </c>
      <c r="K11" s="11">
        <v>2</v>
      </c>
      <c r="L11" s="19">
        <v>40384</v>
      </c>
      <c r="M11" s="73">
        <v>8668</v>
      </c>
      <c r="N11" s="12">
        <v>45128</v>
      </c>
      <c r="O11" s="62" t="s">
        <v>15</v>
      </c>
      <c r="R11" s="17"/>
    </row>
    <row r="12" spans="1:18" s="24" customFormat="1" ht="25.9" customHeight="1" x14ac:dyDescent="0.2">
      <c r="A12" s="11">
        <v>10</v>
      </c>
      <c r="B12" s="22" t="s">
        <v>57</v>
      </c>
      <c r="C12" s="7" t="s">
        <v>229</v>
      </c>
      <c r="D12" s="8">
        <v>6349.17</v>
      </c>
      <c r="E12" s="19" t="s">
        <v>18</v>
      </c>
      <c r="F12" s="20" t="s">
        <v>18</v>
      </c>
      <c r="G12" s="10">
        <v>968</v>
      </c>
      <c r="H12" s="11">
        <v>9</v>
      </c>
      <c r="I12" s="11">
        <f t="shared" ref="I12:I21" si="2">G12/H12</f>
        <v>107.55555555555556</v>
      </c>
      <c r="J12" s="11">
        <v>9</v>
      </c>
      <c r="K12" s="11">
        <v>0</v>
      </c>
      <c r="L12" s="19">
        <v>6349.17</v>
      </c>
      <c r="M12" s="73">
        <v>968</v>
      </c>
      <c r="N12" s="12" t="s">
        <v>59</v>
      </c>
      <c r="O12" s="62" t="s">
        <v>14</v>
      </c>
      <c r="R12" s="17"/>
    </row>
    <row r="13" spans="1:18" s="24" customFormat="1" ht="25.9" customHeight="1" x14ac:dyDescent="0.2">
      <c r="A13" s="22">
        <v>11</v>
      </c>
      <c r="B13" s="22">
        <v>8</v>
      </c>
      <c r="C13" s="18" t="s">
        <v>200</v>
      </c>
      <c r="D13" s="19">
        <v>5483.5</v>
      </c>
      <c r="E13" s="19">
        <v>10487.17</v>
      </c>
      <c r="F13" s="20">
        <f>(D13-E13)/E13</f>
        <v>-0.47712299886432663</v>
      </c>
      <c r="G13" s="21">
        <v>1205</v>
      </c>
      <c r="H13" s="22">
        <v>53</v>
      </c>
      <c r="I13" s="22">
        <f t="shared" si="2"/>
        <v>22.735849056603772</v>
      </c>
      <c r="J13" s="22">
        <v>10</v>
      </c>
      <c r="K13" s="22">
        <v>5</v>
      </c>
      <c r="L13" s="19">
        <v>90270</v>
      </c>
      <c r="M13" s="73">
        <v>19303</v>
      </c>
      <c r="N13" s="23">
        <v>45107</v>
      </c>
      <c r="O13" s="30" t="s">
        <v>179</v>
      </c>
      <c r="R13" s="17"/>
    </row>
    <row r="14" spans="1:18" s="24" customFormat="1" ht="25.9" customHeight="1" x14ac:dyDescent="0.2">
      <c r="A14" s="22">
        <v>12</v>
      </c>
      <c r="B14" s="22" t="s">
        <v>31</v>
      </c>
      <c r="C14" s="7" t="s">
        <v>234</v>
      </c>
      <c r="D14" s="8">
        <v>3121.66</v>
      </c>
      <c r="E14" s="19" t="s">
        <v>18</v>
      </c>
      <c r="F14" s="20" t="s">
        <v>18</v>
      </c>
      <c r="G14" s="10">
        <v>673</v>
      </c>
      <c r="H14" s="11">
        <v>50</v>
      </c>
      <c r="I14" s="11">
        <f t="shared" si="2"/>
        <v>13.46</v>
      </c>
      <c r="J14" s="11">
        <v>10</v>
      </c>
      <c r="K14" s="11">
        <v>1</v>
      </c>
      <c r="L14" s="19">
        <v>3121.66</v>
      </c>
      <c r="M14" s="73">
        <v>673</v>
      </c>
      <c r="N14" s="12">
        <v>45135</v>
      </c>
      <c r="O14" s="62" t="s">
        <v>48</v>
      </c>
      <c r="R14" s="17"/>
    </row>
    <row r="15" spans="1:18" s="27" customFormat="1" ht="25.9" customHeight="1" x14ac:dyDescent="0.15">
      <c r="A15" s="11">
        <v>13</v>
      </c>
      <c r="B15" s="22">
        <v>9</v>
      </c>
      <c r="C15" s="18" t="s">
        <v>199</v>
      </c>
      <c r="D15" s="19">
        <v>2084.61</v>
      </c>
      <c r="E15" s="19">
        <v>8169.67</v>
      </c>
      <c r="F15" s="20">
        <f>(D15-E15)/E15</f>
        <v>-0.74483547071056722</v>
      </c>
      <c r="G15" s="21">
        <v>326</v>
      </c>
      <c r="H15" s="22">
        <v>13</v>
      </c>
      <c r="I15" s="22">
        <f t="shared" si="2"/>
        <v>25.076923076923077</v>
      </c>
      <c r="J15" s="22">
        <v>3</v>
      </c>
      <c r="K15" s="22">
        <v>5</v>
      </c>
      <c r="L15" s="19">
        <v>114107</v>
      </c>
      <c r="M15" s="73">
        <v>16864</v>
      </c>
      <c r="N15" s="23">
        <v>45107</v>
      </c>
      <c r="O15" s="30" t="s">
        <v>40</v>
      </c>
    </row>
    <row r="16" spans="1:18" s="61" customFormat="1" ht="25.5" customHeight="1" x14ac:dyDescent="0.2">
      <c r="A16" s="22">
        <v>14</v>
      </c>
      <c r="B16" s="21" t="s">
        <v>31</v>
      </c>
      <c r="C16" s="18" t="s">
        <v>235</v>
      </c>
      <c r="D16" s="74">
        <v>1415.07</v>
      </c>
      <c r="E16" s="74" t="s">
        <v>18</v>
      </c>
      <c r="F16" s="20" t="s">
        <v>18</v>
      </c>
      <c r="G16" s="73">
        <v>232</v>
      </c>
      <c r="H16" s="75">
        <v>23</v>
      </c>
      <c r="I16" s="75">
        <f t="shared" si="2"/>
        <v>10.086956521739131</v>
      </c>
      <c r="J16" s="75">
        <v>7</v>
      </c>
      <c r="K16" s="75">
        <v>1</v>
      </c>
      <c r="L16" s="74">
        <v>1415.07</v>
      </c>
      <c r="M16" s="73">
        <v>232</v>
      </c>
      <c r="N16" s="23">
        <v>45135</v>
      </c>
      <c r="O16" s="30" t="s">
        <v>117</v>
      </c>
    </row>
    <row r="17" spans="1:16" s="61" customFormat="1" ht="25.5" customHeight="1" x14ac:dyDescent="0.2">
      <c r="A17" s="22">
        <v>15</v>
      </c>
      <c r="B17" s="22">
        <v>15</v>
      </c>
      <c r="C17" s="7" t="s">
        <v>226</v>
      </c>
      <c r="D17" s="8">
        <v>845.5</v>
      </c>
      <c r="E17" s="19">
        <v>1154.58</v>
      </c>
      <c r="F17" s="20">
        <f t="shared" ref="F17" si="3">(D17-E17)/E17</f>
        <v>-0.267699076720539</v>
      </c>
      <c r="G17" s="10">
        <v>347</v>
      </c>
      <c r="H17" s="11">
        <v>14</v>
      </c>
      <c r="I17" s="11">
        <f t="shared" si="2"/>
        <v>24.785714285714285</v>
      </c>
      <c r="J17" s="11">
        <v>2</v>
      </c>
      <c r="K17" s="11" t="s">
        <v>18</v>
      </c>
      <c r="L17" s="19">
        <v>209212</v>
      </c>
      <c r="M17" s="73">
        <v>42922</v>
      </c>
      <c r="N17" s="12">
        <v>44638</v>
      </c>
      <c r="O17" s="30" t="s">
        <v>40</v>
      </c>
    </row>
    <row r="18" spans="1:16" s="27" customFormat="1" ht="25.5" customHeight="1" x14ac:dyDescent="0.15">
      <c r="A18" s="11">
        <v>16</v>
      </c>
      <c r="B18" s="22" t="s">
        <v>57</v>
      </c>
      <c r="C18" s="7" t="s">
        <v>233</v>
      </c>
      <c r="D18" s="8">
        <v>654</v>
      </c>
      <c r="E18" s="19" t="s">
        <v>18</v>
      </c>
      <c r="F18" s="20" t="s">
        <v>18</v>
      </c>
      <c r="G18" s="10">
        <v>140</v>
      </c>
      <c r="H18" s="11">
        <v>6</v>
      </c>
      <c r="I18" s="11">
        <f t="shared" si="2"/>
        <v>23.333333333333332</v>
      </c>
      <c r="J18" s="11">
        <v>3</v>
      </c>
      <c r="K18" s="11">
        <v>0</v>
      </c>
      <c r="L18" s="19">
        <v>654</v>
      </c>
      <c r="M18" s="73">
        <v>140</v>
      </c>
      <c r="N18" s="12">
        <v>45142</v>
      </c>
      <c r="O18" s="30" t="s">
        <v>180</v>
      </c>
    </row>
    <row r="19" spans="1:16" s="27" customFormat="1" ht="25.5" customHeight="1" x14ac:dyDescent="0.15">
      <c r="A19" s="22">
        <v>17</v>
      </c>
      <c r="B19" s="22">
        <v>12</v>
      </c>
      <c r="C19" s="18" t="s">
        <v>171</v>
      </c>
      <c r="D19" s="19">
        <v>381.68</v>
      </c>
      <c r="E19" s="19">
        <v>1959.68</v>
      </c>
      <c r="F19" s="20">
        <f>(D19-E19)/E19</f>
        <v>-0.80523350751143041</v>
      </c>
      <c r="G19" s="21">
        <v>69</v>
      </c>
      <c r="H19" s="22">
        <v>2</v>
      </c>
      <c r="I19" s="22">
        <f t="shared" si="2"/>
        <v>34.5</v>
      </c>
      <c r="J19" s="22">
        <v>1</v>
      </c>
      <c r="K19" s="22">
        <v>9</v>
      </c>
      <c r="L19" s="19">
        <v>77886</v>
      </c>
      <c r="M19" s="73">
        <v>12532</v>
      </c>
      <c r="N19" s="23">
        <v>45079</v>
      </c>
      <c r="O19" s="30" t="s">
        <v>40</v>
      </c>
    </row>
    <row r="20" spans="1:16" s="27" customFormat="1" ht="25.5" customHeight="1" x14ac:dyDescent="0.15">
      <c r="A20" s="22">
        <v>18</v>
      </c>
      <c r="B20" s="11">
        <v>38</v>
      </c>
      <c r="C20" s="7" t="s">
        <v>197</v>
      </c>
      <c r="D20" s="8">
        <v>379.5</v>
      </c>
      <c r="E20" s="71">
        <v>16</v>
      </c>
      <c r="F20" s="20">
        <f>(D20-E20)/E20</f>
        <v>22.71875</v>
      </c>
      <c r="G20" s="10">
        <v>55</v>
      </c>
      <c r="H20" s="11">
        <v>1</v>
      </c>
      <c r="I20" s="11">
        <f t="shared" si="2"/>
        <v>55</v>
      </c>
      <c r="J20" s="11">
        <v>1</v>
      </c>
      <c r="K20" s="11" t="s">
        <v>18</v>
      </c>
      <c r="L20" s="19">
        <v>45205.94</v>
      </c>
      <c r="M20" s="73">
        <v>7376</v>
      </c>
      <c r="N20" s="12">
        <v>44932</v>
      </c>
      <c r="O20" s="62" t="s">
        <v>16</v>
      </c>
    </row>
    <row r="21" spans="1:16" s="27" customFormat="1" ht="25.5" customHeight="1" x14ac:dyDescent="0.15">
      <c r="A21" s="11">
        <v>19</v>
      </c>
      <c r="B21" s="22">
        <v>14</v>
      </c>
      <c r="C21" s="18" t="s">
        <v>36</v>
      </c>
      <c r="D21" s="19">
        <v>360.3</v>
      </c>
      <c r="E21" s="19">
        <v>1364</v>
      </c>
      <c r="F21" s="20">
        <f>(D21-E21)/E21</f>
        <v>-0.73585043988269794</v>
      </c>
      <c r="G21" s="21">
        <v>54</v>
      </c>
      <c r="H21" s="22">
        <v>7</v>
      </c>
      <c r="I21" s="22">
        <f t="shared" si="2"/>
        <v>7.7142857142857144</v>
      </c>
      <c r="J21" s="22">
        <v>1</v>
      </c>
      <c r="K21" s="22">
        <v>22</v>
      </c>
      <c r="L21" s="19">
        <v>240450.23</v>
      </c>
      <c r="M21" s="73">
        <v>37680</v>
      </c>
      <c r="N21" s="23">
        <v>44988</v>
      </c>
      <c r="O21" s="30" t="s">
        <v>39</v>
      </c>
    </row>
    <row r="22" spans="1:16" s="27" customFormat="1" ht="25.5" customHeight="1" x14ac:dyDescent="0.15">
      <c r="A22" s="22">
        <v>20</v>
      </c>
      <c r="B22" s="22">
        <v>40</v>
      </c>
      <c r="C22" s="7" t="s">
        <v>220</v>
      </c>
      <c r="D22" s="8">
        <v>302</v>
      </c>
      <c r="E22" s="19">
        <v>2</v>
      </c>
      <c r="F22" s="20">
        <f>(D22-E22)/E22</f>
        <v>150</v>
      </c>
      <c r="G22" s="10">
        <v>44</v>
      </c>
      <c r="H22" s="11">
        <v>1</v>
      </c>
      <c r="I22" s="11">
        <v>2</v>
      </c>
      <c r="J22" s="11">
        <v>1</v>
      </c>
      <c r="K22" s="11" t="s">
        <v>18</v>
      </c>
      <c r="L22" s="19">
        <v>22341.09</v>
      </c>
      <c r="M22" s="73">
        <v>3569</v>
      </c>
      <c r="N22" s="12">
        <v>44875</v>
      </c>
      <c r="O22" s="62" t="s">
        <v>30</v>
      </c>
    </row>
    <row r="23" spans="1:16" s="27" customFormat="1" ht="25.5" customHeight="1" x14ac:dyDescent="0.15">
      <c r="A23" s="22">
        <v>21</v>
      </c>
      <c r="B23" s="22">
        <v>23</v>
      </c>
      <c r="C23" s="18" t="s">
        <v>225</v>
      </c>
      <c r="D23" s="8">
        <v>251.2</v>
      </c>
      <c r="E23" s="19">
        <v>408.08</v>
      </c>
      <c r="F23" s="20">
        <f>(D23-E23)/E23</f>
        <v>-0.38443442462262301</v>
      </c>
      <c r="G23" s="10">
        <v>99</v>
      </c>
      <c r="H23" s="11">
        <v>8</v>
      </c>
      <c r="I23" s="11">
        <f t="shared" ref="I23:I30" si="4">G23/H23</f>
        <v>12.375</v>
      </c>
      <c r="J23" s="11">
        <v>2</v>
      </c>
      <c r="K23" s="11" t="s">
        <v>18</v>
      </c>
      <c r="L23" s="19">
        <v>319116</v>
      </c>
      <c r="M23" s="73">
        <v>65151</v>
      </c>
      <c r="N23" s="12">
        <v>44552</v>
      </c>
      <c r="O23" s="30" t="s">
        <v>40</v>
      </c>
    </row>
    <row r="24" spans="1:16" s="27" customFormat="1" ht="25.5" customHeight="1" x14ac:dyDescent="0.15">
      <c r="A24" s="11">
        <v>22</v>
      </c>
      <c r="B24" s="22" t="s">
        <v>18</v>
      </c>
      <c r="C24" s="7" t="s">
        <v>80</v>
      </c>
      <c r="D24" s="8">
        <v>244</v>
      </c>
      <c r="E24" s="19" t="s">
        <v>18</v>
      </c>
      <c r="F24" s="20" t="s">
        <v>18</v>
      </c>
      <c r="G24" s="10">
        <v>40</v>
      </c>
      <c r="H24" s="11">
        <v>2</v>
      </c>
      <c r="I24" s="22">
        <f t="shared" si="4"/>
        <v>20</v>
      </c>
      <c r="J24" s="11">
        <v>1</v>
      </c>
      <c r="K24" s="20" t="s">
        <v>18</v>
      </c>
      <c r="L24" s="19">
        <v>10236</v>
      </c>
      <c r="M24" s="73">
        <v>1847</v>
      </c>
      <c r="N24" s="12">
        <v>45012</v>
      </c>
      <c r="O24" s="62" t="s">
        <v>68</v>
      </c>
    </row>
    <row r="25" spans="1:16" s="27" customFormat="1" ht="25.5" customHeight="1" x14ac:dyDescent="0.15">
      <c r="A25" s="22">
        <v>23</v>
      </c>
      <c r="B25" s="22">
        <v>26</v>
      </c>
      <c r="C25" s="18" t="s">
        <v>146</v>
      </c>
      <c r="D25" s="19">
        <v>173.6</v>
      </c>
      <c r="E25" s="19">
        <v>236.38</v>
      </c>
      <c r="F25" s="20">
        <f>(D25-E25)/E25</f>
        <v>-0.26558930535578307</v>
      </c>
      <c r="G25" s="21">
        <v>32</v>
      </c>
      <c r="H25" s="22">
        <v>3</v>
      </c>
      <c r="I25" s="22">
        <f t="shared" si="4"/>
        <v>10.666666666666666</v>
      </c>
      <c r="J25" s="22">
        <v>2</v>
      </c>
      <c r="K25" s="22">
        <v>9</v>
      </c>
      <c r="L25" s="19">
        <v>8817.5</v>
      </c>
      <c r="M25" s="73">
        <v>1362</v>
      </c>
      <c r="N25" s="23">
        <v>45079</v>
      </c>
      <c r="O25" s="30" t="s">
        <v>16</v>
      </c>
    </row>
    <row r="26" spans="1:16" s="27" customFormat="1" ht="25.5" customHeight="1" x14ac:dyDescent="0.15">
      <c r="A26" s="22">
        <v>24</v>
      </c>
      <c r="B26" s="70">
        <v>37</v>
      </c>
      <c r="C26" s="18" t="s">
        <v>34</v>
      </c>
      <c r="D26" s="8">
        <v>72.5</v>
      </c>
      <c r="E26" s="19">
        <v>17</v>
      </c>
      <c r="F26" s="20">
        <f>(D26-E26)/E26</f>
        <v>3.2647058823529411</v>
      </c>
      <c r="G26" s="10">
        <v>29</v>
      </c>
      <c r="H26" s="11">
        <v>4</v>
      </c>
      <c r="I26" s="11">
        <f t="shared" si="4"/>
        <v>7.25</v>
      </c>
      <c r="J26" s="11">
        <v>1</v>
      </c>
      <c r="K26" s="11" t="s">
        <v>18</v>
      </c>
      <c r="L26" s="19">
        <v>73194.009999999995</v>
      </c>
      <c r="M26" s="73">
        <v>15412</v>
      </c>
      <c r="N26" s="23">
        <v>44981</v>
      </c>
      <c r="O26" s="35" t="s">
        <v>16</v>
      </c>
    </row>
    <row r="27" spans="1:16" s="27" customFormat="1" ht="25.5" customHeight="1" x14ac:dyDescent="0.15">
      <c r="A27" s="11">
        <v>25</v>
      </c>
      <c r="B27" s="22">
        <v>10</v>
      </c>
      <c r="C27" s="18" t="s">
        <v>151</v>
      </c>
      <c r="D27" s="19">
        <v>38</v>
      </c>
      <c r="E27" s="19">
        <v>4832.66</v>
      </c>
      <c r="F27" s="20">
        <f>(D27-E27)/E27</f>
        <v>-0.99213683561434074</v>
      </c>
      <c r="G27" s="21">
        <v>7</v>
      </c>
      <c r="H27" s="22">
        <v>1</v>
      </c>
      <c r="I27" s="22">
        <f t="shared" si="4"/>
        <v>7</v>
      </c>
      <c r="J27" s="22">
        <v>1</v>
      </c>
      <c r="K27" s="22">
        <v>9</v>
      </c>
      <c r="L27" s="19">
        <v>324486.71999999997</v>
      </c>
      <c r="M27" s="73">
        <v>54773</v>
      </c>
      <c r="N27" s="23">
        <v>45079</v>
      </c>
      <c r="O27" s="30" t="s">
        <v>12</v>
      </c>
    </row>
    <row r="28" spans="1:16" s="27" customFormat="1" ht="25.5" customHeight="1" x14ac:dyDescent="0.15">
      <c r="A28" s="22">
        <v>26</v>
      </c>
      <c r="B28" s="22">
        <v>20</v>
      </c>
      <c r="C28" s="18" t="s">
        <v>196</v>
      </c>
      <c r="D28" s="19">
        <v>10</v>
      </c>
      <c r="E28" s="19">
        <v>468.2</v>
      </c>
      <c r="F28" s="20">
        <f>(D28-E28)/E28</f>
        <v>-0.97864160615121742</v>
      </c>
      <c r="G28" s="21">
        <v>3</v>
      </c>
      <c r="H28" s="22">
        <v>2</v>
      </c>
      <c r="I28" s="22">
        <f t="shared" si="4"/>
        <v>1.5</v>
      </c>
      <c r="J28" s="22">
        <v>1</v>
      </c>
      <c r="K28" s="22">
        <v>6</v>
      </c>
      <c r="L28" s="19">
        <v>1440.4</v>
      </c>
      <c r="M28" s="73">
        <v>246</v>
      </c>
      <c r="N28" s="23">
        <v>45106</v>
      </c>
      <c r="O28" s="30" t="s">
        <v>30</v>
      </c>
    </row>
    <row r="29" spans="1:16" s="27" customFormat="1" ht="25.5" customHeight="1" x14ac:dyDescent="0.15">
      <c r="A29" s="22">
        <v>27</v>
      </c>
      <c r="B29" s="22">
        <v>11</v>
      </c>
      <c r="C29" s="18" t="s">
        <v>188</v>
      </c>
      <c r="D29" s="19">
        <v>8</v>
      </c>
      <c r="E29" s="19">
        <v>3397.32</v>
      </c>
      <c r="F29" s="20">
        <f>(D29-E29)/E29</f>
        <v>-0.99764520268917856</v>
      </c>
      <c r="G29" s="21">
        <v>2</v>
      </c>
      <c r="H29" s="22">
        <v>1</v>
      </c>
      <c r="I29" s="22">
        <f t="shared" si="4"/>
        <v>2</v>
      </c>
      <c r="J29" s="22">
        <v>1</v>
      </c>
      <c r="K29" s="22">
        <v>6</v>
      </c>
      <c r="L29" s="19">
        <v>120813.71</v>
      </c>
      <c r="M29" s="73">
        <v>17464</v>
      </c>
      <c r="N29" s="23">
        <v>45100</v>
      </c>
      <c r="O29" s="35" t="s">
        <v>12</v>
      </c>
    </row>
    <row r="30" spans="1:16" s="27" customFormat="1" ht="24.6" customHeight="1" x14ac:dyDescent="0.2">
      <c r="A30" s="11">
        <v>28</v>
      </c>
      <c r="B30" s="22" t="s">
        <v>18</v>
      </c>
      <c r="C30" s="7" t="s">
        <v>230</v>
      </c>
      <c r="D30" s="8">
        <v>8</v>
      </c>
      <c r="E30" s="19" t="s">
        <v>18</v>
      </c>
      <c r="F30" s="20" t="s">
        <v>18</v>
      </c>
      <c r="G30" s="10">
        <v>2</v>
      </c>
      <c r="H30" s="11">
        <v>1</v>
      </c>
      <c r="I30" s="11">
        <f t="shared" si="4"/>
        <v>2</v>
      </c>
      <c r="J30" s="11">
        <v>1</v>
      </c>
      <c r="K30" s="11">
        <v>7</v>
      </c>
      <c r="L30" s="19">
        <v>9366.58</v>
      </c>
      <c r="M30" s="73">
        <v>1720</v>
      </c>
      <c r="N30" s="12" t="s">
        <v>231</v>
      </c>
      <c r="O30" s="62" t="s">
        <v>13</v>
      </c>
      <c r="P30" s="72"/>
    </row>
    <row r="31" spans="1:16" s="45" customFormat="1" ht="25.5" customHeight="1" x14ac:dyDescent="0.2">
      <c r="A31" s="67"/>
      <c r="B31" s="67"/>
      <c r="C31" s="46" t="s">
        <v>236</v>
      </c>
      <c r="D31" s="47">
        <f>SUBTOTAL(109,Table1324587910111213141516[Pajamos 
(GBO)])</f>
        <v>726009.67999999982</v>
      </c>
      <c r="E31" s="47" t="s">
        <v>232</v>
      </c>
      <c r="F31" s="42">
        <f t="shared" ref="F31" si="5">(D31-E31)/E31</f>
        <v>-0.23891575245173854</v>
      </c>
      <c r="G31" s="43">
        <f>SUBTOTAL(109,Table1324587910111213141516[Žiūrovų sk. 
(ADM)])</f>
        <v>110713</v>
      </c>
      <c r="H31" s="51"/>
      <c r="I31" s="46"/>
      <c r="J31" s="51"/>
      <c r="K31" s="46"/>
      <c r="L31" s="53"/>
      <c r="M31" s="55"/>
      <c r="N31" s="60"/>
      <c r="O31" s="46"/>
    </row>
    <row r="32" spans="1:16" hidden="1" x14ac:dyDescent="0.15">
      <c r="A32" s="1"/>
      <c r="B32" s="1"/>
      <c r="D32" s="1"/>
      <c r="E32" s="1"/>
      <c r="G32" s="1"/>
      <c r="H32" s="1"/>
      <c r="J32" s="1"/>
      <c r="K32" s="1"/>
      <c r="L32" s="1"/>
      <c r="M32" s="1"/>
      <c r="N32" s="1"/>
    </row>
    <row r="33" spans="5:6" s="1" customFormat="1" hidden="1" x14ac:dyDescent="0.15">
      <c r="F33" s="58"/>
    </row>
    <row r="34" spans="5:6" s="1" customFormat="1" hidden="1" x14ac:dyDescent="0.15">
      <c r="F34" s="58"/>
    </row>
    <row r="35" spans="5:6" s="1" customFormat="1" hidden="1" x14ac:dyDescent="0.15">
      <c r="F35" s="58"/>
    </row>
    <row r="36" spans="5:6" s="1" customFormat="1" hidden="1" x14ac:dyDescent="0.15">
      <c r="E36" s="37"/>
      <c r="F36" s="58"/>
    </row>
    <row r="37" spans="5:6" s="1" customFormat="1" hidden="1" x14ac:dyDescent="0.15">
      <c r="F37" s="58"/>
    </row>
    <row r="38" spans="5:6" s="1" customFormat="1" hidden="1" x14ac:dyDescent="0.15">
      <c r="F38" s="58"/>
    </row>
    <row r="39" spans="5:6" s="1" customFormat="1" hidden="1" x14ac:dyDescent="0.15">
      <c r="F39" s="58"/>
    </row>
    <row r="40" spans="5:6" s="1" customFormat="1" hidden="1" x14ac:dyDescent="0.15">
      <c r="F40" s="58"/>
    </row>
    <row r="41" spans="5:6" s="1" customFormat="1" hidden="1" x14ac:dyDescent="0.15">
      <c r="F41" s="58"/>
    </row>
    <row r="42" spans="5:6" s="1" customFormat="1" hidden="1" x14ac:dyDescent="0.15">
      <c r="F42" s="58"/>
    </row>
    <row r="43" spans="5:6" s="1" customFormat="1" hidden="1" x14ac:dyDescent="0.15">
      <c r="F43" s="58"/>
    </row>
  </sheetData>
  <mergeCells count="1">
    <mergeCell ref="A1:O1"/>
  </mergeCells>
  <phoneticPr fontId="7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357E3-69B9-4F83-83AA-FF22DFA09DAA}">
  <dimension ref="A1:XFC55"/>
  <sheetViews>
    <sheetView topLeftCell="B6" zoomScale="60" zoomScaleNormal="60" workbookViewId="0">
      <selection activeCell="C16" sqref="C16"/>
    </sheetView>
  </sheetViews>
  <sheetFormatPr defaultColWidth="0" defaultRowHeight="11.25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8" width="20.7109375" style="38" customWidth="1"/>
    <col min="9" max="9" width="20.7109375" style="1" customWidth="1"/>
    <col min="10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216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15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5" customHeight="1" x14ac:dyDescent="0.2">
      <c r="A3" s="22">
        <v>1</v>
      </c>
      <c r="B3" s="22" t="s">
        <v>31</v>
      </c>
      <c r="C3" s="18" t="s">
        <v>213</v>
      </c>
      <c r="D3" s="19">
        <v>431659.73</v>
      </c>
      <c r="E3" s="20" t="s">
        <v>18</v>
      </c>
      <c r="F3" s="20" t="s">
        <v>18</v>
      </c>
      <c r="G3" s="21">
        <v>62010</v>
      </c>
      <c r="H3" s="22">
        <v>389</v>
      </c>
      <c r="I3" s="22">
        <f t="shared" ref="I3:I8" si="0">G3/H3</f>
        <v>159.40874035989717</v>
      </c>
      <c r="J3" s="22">
        <v>18</v>
      </c>
      <c r="K3" s="22">
        <v>1</v>
      </c>
      <c r="L3" s="19">
        <v>466451.78</v>
      </c>
      <c r="M3" s="21">
        <v>68048</v>
      </c>
      <c r="N3" s="23">
        <v>45128</v>
      </c>
      <c r="O3" s="17" t="s">
        <v>14</v>
      </c>
    </row>
    <row r="4" spans="1:18" s="24" customFormat="1" ht="25.9" customHeight="1" x14ac:dyDescent="0.2">
      <c r="A4" s="11">
        <v>2</v>
      </c>
      <c r="B4" s="22" t="s">
        <v>31</v>
      </c>
      <c r="C4" s="7" t="s">
        <v>222</v>
      </c>
      <c r="D4" s="8">
        <v>289263.37</v>
      </c>
      <c r="E4" s="19" t="s">
        <v>18</v>
      </c>
      <c r="F4" s="20" t="s">
        <v>18</v>
      </c>
      <c r="G4" s="10">
        <v>43235</v>
      </c>
      <c r="H4" s="11">
        <v>344</v>
      </c>
      <c r="I4" s="11">
        <f t="shared" si="0"/>
        <v>125.68313953488372</v>
      </c>
      <c r="J4" s="11">
        <v>17</v>
      </c>
      <c r="K4" s="11">
        <v>1</v>
      </c>
      <c r="L4" s="19">
        <v>289263</v>
      </c>
      <c r="M4" s="21">
        <v>43235</v>
      </c>
      <c r="N4" s="12">
        <v>45128</v>
      </c>
      <c r="O4" s="30" t="s">
        <v>179</v>
      </c>
    </row>
    <row r="5" spans="1:18" s="24" customFormat="1" ht="25.9" customHeight="1" x14ac:dyDescent="0.2">
      <c r="A5" s="22">
        <v>3</v>
      </c>
      <c r="B5" s="22">
        <v>2</v>
      </c>
      <c r="C5" s="18" t="s">
        <v>198</v>
      </c>
      <c r="D5" s="19">
        <v>53739.82</v>
      </c>
      <c r="E5" s="19">
        <v>60954.38</v>
      </c>
      <c r="F5" s="20">
        <f>(D5-E5)/E5</f>
        <v>-0.11835999316209923</v>
      </c>
      <c r="G5" s="21">
        <v>10585</v>
      </c>
      <c r="H5" s="22">
        <v>269</v>
      </c>
      <c r="I5" s="22">
        <f t="shared" si="0"/>
        <v>39.349442379182157</v>
      </c>
      <c r="J5" s="22">
        <v>17</v>
      </c>
      <c r="K5" s="22">
        <v>2</v>
      </c>
      <c r="L5" s="19">
        <v>126730.84</v>
      </c>
      <c r="M5" s="21">
        <v>25091</v>
      </c>
      <c r="N5" s="23">
        <v>45121</v>
      </c>
      <c r="O5" s="17" t="s">
        <v>13</v>
      </c>
      <c r="R5" s="17"/>
    </row>
    <row r="6" spans="1:18" s="24" customFormat="1" ht="25.9" customHeight="1" x14ac:dyDescent="0.2">
      <c r="A6" s="22">
        <v>4</v>
      </c>
      <c r="B6" s="22">
        <v>1</v>
      </c>
      <c r="C6" s="18" t="s">
        <v>209</v>
      </c>
      <c r="D6" s="19">
        <v>44962.19</v>
      </c>
      <c r="E6" s="19">
        <v>74405.97</v>
      </c>
      <c r="F6" s="20">
        <f>(D6-E6)/E6</f>
        <v>-0.39571797800633468</v>
      </c>
      <c r="G6" s="21">
        <v>6953</v>
      </c>
      <c r="H6" s="22">
        <v>179</v>
      </c>
      <c r="I6" s="22">
        <f t="shared" si="0"/>
        <v>38.843575418994412</v>
      </c>
      <c r="J6" s="22">
        <v>12</v>
      </c>
      <c r="K6" s="22">
        <v>2</v>
      </c>
      <c r="L6" s="19">
        <v>132053</v>
      </c>
      <c r="M6" s="21">
        <v>18917</v>
      </c>
      <c r="N6" s="23">
        <v>45121</v>
      </c>
      <c r="O6" s="30" t="s">
        <v>180</v>
      </c>
      <c r="R6" s="17"/>
    </row>
    <row r="7" spans="1:18" s="24" customFormat="1" ht="25.9" customHeight="1" x14ac:dyDescent="0.2">
      <c r="A7" s="11">
        <v>5</v>
      </c>
      <c r="B7" s="22">
        <v>3</v>
      </c>
      <c r="C7" s="18" t="s">
        <v>203</v>
      </c>
      <c r="D7" s="19">
        <v>35659.43</v>
      </c>
      <c r="E7" s="19">
        <v>50168.19</v>
      </c>
      <c r="F7" s="20">
        <f>(D7-E7)/E7</f>
        <v>-0.28920238103068902</v>
      </c>
      <c r="G7" s="21">
        <v>5143</v>
      </c>
      <c r="H7" s="22">
        <v>97</v>
      </c>
      <c r="I7" s="22">
        <f t="shared" si="0"/>
        <v>53.020618556701031</v>
      </c>
      <c r="J7" s="22">
        <v>8</v>
      </c>
      <c r="K7" s="22">
        <v>3</v>
      </c>
      <c r="L7" s="19">
        <v>178251.39</v>
      </c>
      <c r="M7" s="21">
        <v>25123</v>
      </c>
      <c r="N7" s="23">
        <v>45114</v>
      </c>
      <c r="O7" s="36" t="s">
        <v>12</v>
      </c>
      <c r="R7" s="17"/>
    </row>
    <row r="8" spans="1:18" s="24" customFormat="1" ht="25.5" customHeight="1" x14ac:dyDescent="0.2">
      <c r="A8" s="22">
        <v>6</v>
      </c>
      <c r="B8" s="22">
        <v>5</v>
      </c>
      <c r="C8" s="18" t="s">
        <v>181</v>
      </c>
      <c r="D8" s="19">
        <v>32375.64</v>
      </c>
      <c r="E8" s="19">
        <v>30287.16</v>
      </c>
      <c r="F8" s="20">
        <f>(D8-E8)/E8</f>
        <v>6.8955953612025681E-2</v>
      </c>
      <c r="G8" s="21">
        <v>6389</v>
      </c>
      <c r="H8" s="22">
        <v>114</v>
      </c>
      <c r="I8" s="22">
        <f t="shared" si="0"/>
        <v>56.043859649122808</v>
      </c>
      <c r="J8" s="22">
        <v>10</v>
      </c>
      <c r="K8" s="22">
        <v>6</v>
      </c>
      <c r="L8" s="19">
        <v>359251</v>
      </c>
      <c r="M8" s="21">
        <v>70899</v>
      </c>
      <c r="N8" s="23">
        <v>45093</v>
      </c>
      <c r="O8" s="30" t="s">
        <v>40</v>
      </c>
      <c r="R8" s="17"/>
    </row>
    <row r="9" spans="1:18" s="24" customFormat="1" ht="25.5" customHeight="1" x14ac:dyDescent="0.2">
      <c r="A9" s="22">
        <v>7</v>
      </c>
      <c r="B9" s="22" t="s">
        <v>18</v>
      </c>
      <c r="C9" s="7" t="s">
        <v>219</v>
      </c>
      <c r="D9" s="8">
        <v>26241</v>
      </c>
      <c r="E9" s="19" t="s">
        <v>18</v>
      </c>
      <c r="F9" s="20" t="s">
        <v>18</v>
      </c>
      <c r="G9" s="10">
        <v>5644</v>
      </c>
      <c r="H9" s="11" t="s">
        <v>18</v>
      </c>
      <c r="I9" s="11" t="s">
        <v>18</v>
      </c>
      <c r="J9" s="11">
        <v>15</v>
      </c>
      <c r="K9" s="11">
        <v>1</v>
      </c>
      <c r="L9" s="19">
        <v>26241</v>
      </c>
      <c r="M9" s="21">
        <v>5644</v>
      </c>
      <c r="N9" s="12">
        <v>45128</v>
      </c>
      <c r="O9" s="6" t="s">
        <v>15</v>
      </c>
      <c r="R9" s="17"/>
    </row>
    <row r="10" spans="1:18" s="24" customFormat="1" ht="25.9" customHeight="1" x14ac:dyDescent="0.2">
      <c r="A10" s="11">
        <v>8</v>
      </c>
      <c r="B10" s="22">
        <v>9</v>
      </c>
      <c r="C10" s="18" t="s">
        <v>200</v>
      </c>
      <c r="D10" s="19">
        <v>10487.17</v>
      </c>
      <c r="E10" s="19">
        <v>21583.360000000001</v>
      </c>
      <c r="F10" s="20">
        <f>(D10-E10)/E10</f>
        <v>-0.51410855399715338</v>
      </c>
      <c r="G10" s="21">
        <v>2253</v>
      </c>
      <c r="H10" s="22">
        <v>73</v>
      </c>
      <c r="I10" s="22">
        <f t="shared" ref="I10:I35" si="1">G10/H10</f>
        <v>30.863013698630137</v>
      </c>
      <c r="J10" s="22">
        <v>11</v>
      </c>
      <c r="K10" s="22">
        <v>4</v>
      </c>
      <c r="L10" s="19">
        <v>84786</v>
      </c>
      <c r="M10" s="21">
        <v>18098</v>
      </c>
      <c r="N10" s="23">
        <v>45107</v>
      </c>
      <c r="O10" s="30" t="s">
        <v>179</v>
      </c>
      <c r="R10" s="17"/>
    </row>
    <row r="11" spans="1:18" s="24" customFormat="1" ht="25.9" customHeight="1" x14ac:dyDescent="0.2">
      <c r="A11" s="22">
        <v>9</v>
      </c>
      <c r="B11" s="22">
        <v>6</v>
      </c>
      <c r="C11" s="18" t="s">
        <v>199</v>
      </c>
      <c r="D11" s="19">
        <v>8169.67</v>
      </c>
      <c r="E11" s="19">
        <v>14375.3</v>
      </c>
      <c r="F11" s="20">
        <f>(D11-E11)/E11</f>
        <v>-0.4316869908801903</v>
      </c>
      <c r="G11" s="21">
        <v>1293</v>
      </c>
      <c r="H11" s="22">
        <v>44</v>
      </c>
      <c r="I11" s="22">
        <f t="shared" si="1"/>
        <v>29.386363636363637</v>
      </c>
      <c r="J11" s="22">
        <v>5</v>
      </c>
      <c r="K11" s="22">
        <v>4</v>
      </c>
      <c r="L11" s="19">
        <v>112023</v>
      </c>
      <c r="M11" s="21">
        <v>16538</v>
      </c>
      <c r="N11" s="23">
        <v>45107</v>
      </c>
      <c r="O11" s="36" t="s">
        <v>40</v>
      </c>
      <c r="R11" s="17"/>
    </row>
    <row r="12" spans="1:18" s="24" customFormat="1" ht="25.9" customHeight="1" x14ac:dyDescent="0.2">
      <c r="A12" s="22">
        <v>10</v>
      </c>
      <c r="B12" s="22">
        <v>8</v>
      </c>
      <c r="C12" s="18" t="s">
        <v>151</v>
      </c>
      <c r="D12" s="19">
        <v>4832.66</v>
      </c>
      <c r="E12" s="19">
        <v>12190.53</v>
      </c>
      <c r="F12" s="20">
        <f>(D12-E12)/E12</f>
        <v>-0.60357260923027956</v>
      </c>
      <c r="G12" s="21">
        <v>926</v>
      </c>
      <c r="H12" s="22">
        <v>26</v>
      </c>
      <c r="I12" s="22">
        <f t="shared" si="1"/>
        <v>35.615384615384613</v>
      </c>
      <c r="J12" s="22">
        <v>5</v>
      </c>
      <c r="K12" s="22">
        <v>8</v>
      </c>
      <c r="L12" s="19">
        <v>324448.71999999997</v>
      </c>
      <c r="M12" s="21">
        <v>54766</v>
      </c>
      <c r="N12" s="23">
        <v>45079</v>
      </c>
      <c r="O12" s="36" t="s">
        <v>12</v>
      </c>
      <c r="R12" s="17"/>
    </row>
    <row r="13" spans="1:18" s="24" customFormat="1" ht="25.9" customHeight="1" x14ac:dyDescent="0.2">
      <c r="A13" s="11">
        <v>11</v>
      </c>
      <c r="B13" s="22">
        <v>7</v>
      </c>
      <c r="C13" s="18" t="s">
        <v>188</v>
      </c>
      <c r="D13" s="19">
        <v>3397.32</v>
      </c>
      <c r="E13" s="19">
        <v>12577.97</v>
      </c>
      <c r="F13" s="20">
        <f>(D13-E13)/E13</f>
        <v>-0.72989918086940897</v>
      </c>
      <c r="G13" s="21">
        <v>524</v>
      </c>
      <c r="H13" s="22">
        <v>20</v>
      </c>
      <c r="I13" s="22">
        <f t="shared" si="1"/>
        <v>26.2</v>
      </c>
      <c r="J13" s="22">
        <v>6</v>
      </c>
      <c r="K13" s="22">
        <v>5</v>
      </c>
      <c r="L13" s="19">
        <v>120805.71</v>
      </c>
      <c r="M13" s="21">
        <v>17462</v>
      </c>
      <c r="N13" s="23">
        <v>45100</v>
      </c>
      <c r="O13" s="35" t="s">
        <v>12</v>
      </c>
      <c r="R13" s="17"/>
    </row>
    <row r="14" spans="1:18" s="24" customFormat="1" ht="25.9" customHeight="1" x14ac:dyDescent="0.2">
      <c r="A14" s="22">
        <v>12</v>
      </c>
      <c r="B14" s="22">
        <v>17</v>
      </c>
      <c r="C14" s="18" t="s">
        <v>171</v>
      </c>
      <c r="D14" s="19">
        <v>1959.68</v>
      </c>
      <c r="E14" s="19">
        <v>1189.26</v>
      </c>
      <c r="F14" s="20">
        <f>(D14-E14)/E14</f>
        <v>0.64781460740292285</v>
      </c>
      <c r="G14" s="21">
        <v>348</v>
      </c>
      <c r="H14" s="22">
        <v>9</v>
      </c>
      <c r="I14" s="22">
        <f t="shared" si="1"/>
        <v>38.666666666666664</v>
      </c>
      <c r="J14" s="22">
        <v>2</v>
      </c>
      <c r="K14" s="22">
        <v>8</v>
      </c>
      <c r="L14" s="19">
        <v>77504</v>
      </c>
      <c r="M14" s="21">
        <v>12463</v>
      </c>
      <c r="N14" s="23">
        <v>45079</v>
      </c>
      <c r="O14" s="30" t="s">
        <v>40</v>
      </c>
      <c r="R14" s="17"/>
    </row>
    <row r="15" spans="1:18" s="27" customFormat="1" ht="25.9" customHeight="1" x14ac:dyDescent="0.15">
      <c r="A15" s="22">
        <v>13</v>
      </c>
      <c r="B15" s="22" t="s">
        <v>57</v>
      </c>
      <c r="C15" s="7" t="s">
        <v>221</v>
      </c>
      <c r="D15" s="8">
        <v>1597.34</v>
      </c>
      <c r="E15" s="19" t="s">
        <v>18</v>
      </c>
      <c r="F15" s="20" t="s">
        <v>18</v>
      </c>
      <c r="G15" s="10">
        <v>253</v>
      </c>
      <c r="H15" s="11">
        <v>6</v>
      </c>
      <c r="I15" s="11">
        <f t="shared" si="1"/>
        <v>42.166666666666664</v>
      </c>
      <c r="J15" s="11">
        <v>6</v>
      </c>
      <c r="K15" s="11">
        <v>0</v>
      </c>
      <c r="L15" s="19">
        <v>1597.34</v>
      </c>
      <c r="M15" s="21">
        <v>253</v>
      </c>
      <c r="N15" s="12" t="s">
        <v>59</v>
      </c>
      <c r="O15" s="6" t="s">
        <v>13</v>
      </c>
    </row>
    <row r="16" spans="1:18" s="61" customFormat="1" ht="25.5" customHeight="1" x14ac:dyDescent="0.2">
      <c r="A16" s="11">
        <v>14</v>
      </c>
      <c r="B16" s="22">
        <v>24</v>
      </c>
      <c r="C16" s="18" t="s">
        <v>36</v>
      </c>
      <c r="D16" s="19">
        <v>1364</v>
      </c>
      <c r="E16" s="19">
        <v>295.79999999999995</v>
      </c>
      <c r="F16" s="20">
        <f>(D16-E16)/E16</f>
        <v>3.6112237998647743</v>
      </c>
      <c r="G16" s="21">
        <v>196</v>
      </c>
      <c r="H16" s="22">
        <v>9</v>
      </c>
      <c r="I16" s="22">
        <f t="shared" si="1"/>
        <v>21.777777777777779</v>
      </c>
      <c r="J16" s="22">
        <v>2</v>
      </c>
      <c r="K16" s="22">
        <v>21</v>
      </c>
      <c r="L16" s="19">
        <v>240089.93</v>
      </c>
      <c r="M16" s="21">
        <v>37626</v>
      </c>
      <c r="N16" s="23">
        <v>44988</v>
      </c>
      <c r="O16" s="36" t="s">
        <v>39</v>
      </c>
    </row>
    <row r="17" spans="1:15" s="61" customFormat="1" ht="25.5" customHeight="1" x14ac:dyDescent="0.2">
      <c r="A17" s="22">
        <v>15</v>
      </c>
      <c r="B17" s="22" t="s">
        <v>18</v>
      </c>
      <c r="C17" s="7" t="s">
        <v>226</v>
      </c>
      <c r="D17" s="8">
        <v>1154.58</v>
      </c>
      <c r="E17" s="19" t="s">
        <v>18</v>
      </c>
      <c r="F17" s="20" t="s">
        <v>18</v>
      </c>
      <c r="G17" s="10">
        <v>473</v>
      </c>
      <c r="H17" s="11">
        <v>14</v>
      </c>
      <c r="I17" s="11">
        <f t="shared" si="1"/>
        <v>33.785714285714285</v>
      </c>
      <c r="J17" s="11">
        <v>2</v>
      </c>
      <c r="K17" s="11" t="s">
        <v>18</v>
      </c>
      <c r="L17" s="19">
        <v>208367</v>
      </c>
      <c r="M17" s="21">
        <v>42575</v>
      </c>
      <c r="N17" s="12">
        <v>44638</v>
      </c>
      <c r="O17" s="30" t="s">
        <v>40</v>
      </c>
    </row>
    <row r="18" spans="1:15" s="27" customFormat="1" ht="25.5" customHeight="1" x14ac:dyDescent="0.15">
      <c r="A18" s="22">
        <v>16</v>
      </c>
      <c r="B18" s="22">
        <v>14</v>
      </c>
      <c r="C18" s="18" t="s">
        <v>11</v>
      </c>
      <c r="D18" s="19">
        <v>1041.3499999999999</v>
      </c>
      <c r="E18" s="19">
        <v>3170.07</v>
      </c>
      <c r="F18" s="20">
        <f t="shared" ref="F18:F23" si="2">(D18-E18)/E18</f>
        <v>-0.67150567653080218</v>
      </c>
      <c r="G18" s="21">
        <v>262</v>
      </c>
      <c r="H18" s="22">
        <v>9</v>
      </c>
      <c r="I18" s="22">
        <f t="shared" si="1"/>
        <v>29.111111111111111</v>
      </c>
      <c r="J18" s="22">
        <v>2</v>
      </c>
      <c r="K18" s="22">
        <v>16</v>
      </c>
      <c r="L18" s="19">
        <v>589367</v>
      </c>
      <c r="M18" s="21">
        <v>108584</v>
      </c>
      <c r="N18" s="23">
        <v>45023</v>
      </c>
      <c r="O18" s="30" t="s">
        <v>179</v>
      </c>
    </row>
    <row r="19" spans="1:15" s="27" customFormat="1" ht="25.5" customHeight="1" x14ac:dyDescent="0.15">
      <c r="A19" s="11">
        <v>17</v>
      </c>
      <c r="B19" s="22">
        <v>12</v>
      </c>
      <c r="C19" s="18" t="s">
        <v>214</v>
      </c>
      <c r="D19" s="19">
        <v>1016.8</v>
      </c>
      <c r="E19" s="19">
        <v>3338.37</v>
      </c>
      <c r="F19" s="20">
        <f t="shared" si="2"/>
        <v>-0.69542022004750814</v>
      </c>
      <c r="G19" s="21">
        <v>204</v>
      </c>
      <c r="H19" s="22">
        <v>14</v>
      </c>
      <c r="I19" s="22">
        <f t="shared" si="1"/>
        <v>14.571428571428571</v>
      </c>
      <c r="J19" s="22">
        <v>4</v>
      </c>
      <c r="K19" s="22">
        <v>2</v>
      </c>
      <c r="L19" s="19">
        <v>4355.17</v>
      </c>
      <c r="M19" s="21">
        <v>740</v>
      </c>
      <c r="N19" s="23">
        <v>45121</v>
      </c>
      <c r="O19" s="35" t="s">
        <v>117</v>
      </c>
    </row>
    <row r="20" spans="1:15" s="27" customFormat="1" ht="25.5" customHeight="1" x14ac:dyDescent="0.15">
      <c r="A20" s="22">
        <v>18</v>
      </c>
      <c r="B20" s="22">
        <v>21</v>
      </c>
      <c r="C20" s="18" t="s">
        <v>50</v>
      </c>
      <c r="D20" s="19">
        <v>787.82</v>
      </c>
      <c r="E20" s="19">
        <v>528</v>
      </c>
      <c r="F20" s="20">
        <f t="shared" si="2"/>
        <v>0.49208333333333343</v>
      </c>
      <c r="G20" s="21">
        <v>166</v>
      </c>
      <c r="H20" s="22">
        <v>12</v>
      </c>
      <c r="I20" s="22">
        <f t="shared" si="1"/>
        <v>13.833333333333334</v>
      </c>
      <c r="J20" s="22">
        <v>2</v>
      </c>
      <c r="K20" s="22">
        <v>13</v>
      </c>
      <c r="L20" s="19">
        <v>249419.61</v>
      </c>
      <c r="M20" s="21">
        <v>49741</v>
      </c>
      <c r="N20" s="23">
        <v>45037</v>
      </c>
      <c r="O20" s="30" t="s">
        <v>51</v>
      </c>
    </row>
    <row r="21" spans="1:15" s="27" customFormat="1" ht="25.5" customHeight="1" x14ac:dyDescent="0.15">
      <c r="A21" s="22">
        <v>19</v>
      </c>
      <c r="B21" s="22">
        <v>23</v>
      </c>
      <c r="C21" s="18" t="s">
        <v>155</v>
      </c>
      <c r="D21" s="19">
        <v>570.4</v>
      </c>
      <c r="E21" s="19">
        <v>332.5</v>
      </c>
      <c r="F21" s="20">
        <f t="shared" si="2"/>
        <v>0.71548872180451117</v>
      </c>
      <c r="G21" s="21">
        <v>250</v>
      </c>
      <c r="H21" s="22">
        <v>14</v>
      </c>
      <c r="I21" s="22">
        <f t="shared" si="1"/>
        <v>17.857142857142858</v>
      </c>
      <c r="J21" s="22">
        <v>2</v>
      </c>
      <c r="K21" s="20" t="s">
        <v>18</v>
      </c>
      <c r="L21" s="19">
        <v>186983.44</v>
      </c>
      <c r="M21" s="21">
        <v>37352</v>
      </c>
      <c r="N21" s="23">
        <v>44869</v>
      </c>
      <c r="O21" s="35" t="s">
        <v>12</v>
      </c>
    </row>
    <row r="22" spans="1:15" s="27" customFormat="1" ht="25.5" customHeight="1" x14ac:dyDescent="0.15">
      <c r="A22" s="11">
        <v>20</v>
      </c>
      <c r="B22" s="22">
        <v>27</v>
      </c>
      <c r="C22" s="18" t="s">
        <v>196</v>
      </c>
      <c r="D22" s="19">
        <v>468.2</v>
      </c>
      <c r="E22" s="19">
        <v>100</v>
      </c>
      <c r="F22" s="20">
        <f t="shared" si="2"/>
        <v>3.6819999999999999</v>
      </c>
      <c r="G22" s="21">
        <v>74</v>
      </c>
      <c r="H22" s="22">
        <v>6</v>
      </c>
      <c r="I22" s="22">
        <f t="shared" si="1"/>
        <v>12.333333333333334</v>
      </c>
      <c r="J22" s="22">
        <v>3</v>
      </c>
      <c r="K22" s="22">
        <v>5</v>
      </c>
      <c r="L22" s="19">
        <v>1430.4</v>
      </c>
      <c r="M22" s="21">
        <v>243</v>
      </c>
      <c r="N22" s="23">
        <v>45106</v>
      </c>
      <c r="O22" s="30" t="s">
        <v>30</v>
      </c>
    </row>
    <row r="23" spans="1:15" s="27" customFormat="1" ht="25.5" customHeight="1" x14ac:dyDescent="0.15">
      <c r="A23" s="22">
        <v>21</v>
      </c>
      <c r="B23" s="22">
        <v>13</v>
      </c>
      <c r="C23" s="18" t="s">
        <v>174</v>
      </c>
      <c r="D23" s="19">
        <v>461</v>
      </c>
      <c r="E23" s="19">
        <v>3310.06</v>
      </c>
      <c r="F23" s="20">
        <f t="shared" si="2"/>
        <v>-0.86072760010392557</v>
      </c>
      <c r="G23" s="21">
        <v>85</v>
      </c>
      <c r="H23" s="22">
        <v>2</v>
      </c>
      <c r="I23" s="22">
        <f t="shared" si="1"/>
        <v>42.5</v>
      </c>
      <c r="J23" s="22">
        <v>2</v>
      </c>
      <c r="K23" s="22">
        <v>7</v>
      </c>
      <c r="L23" s="19">
        <v>55974</v>
      </c>
      <c r="M23" s="21">
        <v>8994</v>
      </c>
      <c r="N23" s="23">
        <v>45086</v>
      </c>
      <c r="O23" s="30" t="s">
        <v>179</v>
      </c>
    </row>
    <row r="24" spans="1:15" s="27" customFormat="1" ht="25.5" customHeight="1" x14ac:dyDescent="0.15">
      <c r="A24" s="22">
        <v>22</v>
      </c>
      <c r="B24" s="22" t="s">
        <v>18</v>
      </c>
      <c r="C24" s="7" t="s">
        <v>224</v>
      </c>
      <c r="D24" s="8">
        <v>461</v>
      </c>
      <c r="E24" s="19" t="s">
        <v>18</v>
      </c>
      <c r="F24" s="20" t="s">
        <v>18</v>
      </c>
      <c r="G24" s="10">
        <v>202</v>
      </c>
      <c r="H24" s="11">
        <v>9</v>
      </c>
      <c r="I24" s="11">
        <f t="shared" si="1"/>
        <v>22.444444444444443</v>
      </c>
      <c r="J24" s="11">
        <v>2</v>
      </c>
      <c r="K24" s="11" t="s">
        <v>18</v>
      </c>
      <c r="L24" s="19">
        <v>287429</v>
      </c>
      <c r="M24" s="21">
        <v>57992</v>
      </c>
      <c r="N24" s="12">
        <v>44631</v>
      </c>
      <c r="O24" s="30" t="s">
        <v>40</v>
      </c>
    </row>
    <row r="25" spans="1:15" s="27" customFormat="1" ht="25.5" customHeight="1" x14ac:dyDescent="0.15">
      <c r="A25" s="11">
        <v>23</v>
      </c>
      <c r="B25" s="19" t="s">
        <v>18</v>
      </c>
      <c r="C25" s="18" t="s">
        <v>225</v>
      </c>
      <c r="D25" s="8">
        <v>408.08</v>
      </c>
      <c r="E25" s="19" t="s">
        <v>18</v>
      </c>
      <c r="F25" s="20" t="s">
        <v>18</v>
      </c>
      <c r="G25" s="10">
        <v>154</v>
      </c>
      <c r="H25" s="11">
        <v>14</v>
      </c>
      <c r="I25" s="11">
        <f t="shared" si="1"/>
        <v>11</v>
      </c>
      <c r="J25" s="11">
        <v>2</v>
      </c>
      <c r="K25" s="11" t="s">
        <v>18</v>
      </c>
      <c r="L25" s="19">
        <v>318865</v>
      </c>
      <c r="M25" s="21">
        <v>65052</v>
      </c>
      <c r="N25" s="12">
        <v>44552</v>
      </c>
      <c r="O25" s="30" t="s">
        <v>40</v>
      </c>
    </row>
    <row r="26" spans="1:15" s="27" customFormat="1" ht="25.5" customHeight="1" x14ac:dyDescent="0.15">
      <c r="A26" s="22">
        <v>24</v>
      </c>
      <c r="B26" s="22" t="s">
        <v>18</v>
      </c>
      <c r="C26" s="7" t="s">
        <v>218</v>
      </c>
      <c r="D26" s="8">
        <v>310</v>
      </c>
      <c r="E26" s="11" t="s">
        <v>18</v>
      </c>
      <c r="F26" s="11" t="s">
        <v>18</v>
      </c>
      <c r="G26" s="10">
        <v>46</v>
      </c>
      <c r="H26" s="11">
        <v>1</v>
      </c>
      <c r="I26" s="11">
        <f t="shared" si="1"/>
        <v>46</v>
      </c>
      <c r="J26" s="11">
        <v>1</v>
      </c>
      <c r="K26" s="11" t="s">
        <v>18</v>
      </c>
      <c r="L26" s="19">
        <v>2503</v>
      </c>
      <c r="M26" s="21">
        <v>486</v>
      </c>
      <c r="N26" s="12">
        <v>44316</v>
      </c>
      <c r="O26" s="6" t="s">
        <v>68</v>
      </c>
    </row>
    <row r="27" spans="1:15" s="27" customFormat="1" ht="25.5" customHeight="1" x14ac:dyDescent="0.15">
      <c r="A27" s="22">
        <v>25</v>
      </c>
      <c r="B27" s="22">
        <v>20</v>
      </c>
      <c r="C27" s="18" t="s">
        <v>90</v>
      </c>
      <c r="D27" s="19">
        <v>283</v>
      </c>
      <c r="E27" s="19">
        <v>560.04999999999995</v>
      </c>
      <c r="F27" s="20">
        <f>(D27-E27)/E27</f>
        <v>-0.49468797428800998</v>
      </c>
      <c r="G27" s="21">
        <v>75</v>
      </c>
      <c r="H27" s="22">
        <v>7</v>
      </c>
      <c r="I27" s="22">
        <f t="shared" si="1"/>
        <v>10.714285714285714</v>
      </c>
      <c r="J27" s="22">
        <v>2</v>
      </c>
      <c r="K27" s="22">
        <v>13</v>
      </c>
      <c r="L27" s="19">
        <v>45562.84</v>
      </c>
      <c r="M27" s="21">
        <v>9471</v>
      </c>
      <c r="N27" s="23">
        <v>45044</v>
      </c>
      <c r="O27" s="30" t="s">
        <v>16</v>
      </c>
    </row>
    <row r="28" spans="1:15" s="27" customFormat="1" ht="25.5" customHeight="1" x14ac:dyDescent="0.15">
      <c r="A28" s="11">
        <v>26</v>
      </c>
      <c r="B28" s="22">
        <v>30</v>
      </c>
      <c r="C28" s="18" t="s">
        <v>146</v>
      </c>
      <c r="D28" s="19">
        <v>236.38</v>
      </c>
      <c r="E28" s="19">
        <v>273.3</v>
      </c>
      <c r="F28" s="20">
        <f>(D28-E28)/E28</f>
        <v>-0.13508964507866819</v>
      </c>
      <c r="G28" s="21">
        <v>34</v>
      </c>
      <c r="H28" s="22">
        <v>3</v>
      </c>
      <c r="I28" s="22">
        <f t="shared" si="1"/>
        <v>11.333333333333334</v>
      </c>
      <c r="J28" s="22">
        <v>1</v>
      </c>
      <c r="K28" s="22">
        <v>8</v>
      </c>
      <c r="L28" s="19">
        <v>8610.7000000000007</v>
      </c>
      <c r="M28" s="21">
        <v>1330</v>
      </c>
      <c r="N28" s="23">
        <v>45079</v>
      </c>
      <c r="O28" s="30" t="s">
        <v>16</v>
      </c>
    </row>
    <row r="29" spans="1:15" s="27" customFormat="1" ht="25.5" customHeight="1" x14ac:dyDescent="0.15">
      <c r="A29" s="22">
        <v>27</v>
      </c>
      <c r="B29" s="22" t="s">
        <v>57</v>
      </c>
      <c r="C29" s="7" t="s">
        <v>223</v>
      </c>
      <c r="D29" s="8">
        <v>200.05</v>
      </c>
      <c r="E29" s="19" t="s">
        <v>18</v>
      </c>
      <c r="F29" s="11" t="s">
        <v>18</v>
      </c>
      <c r="G29" s="10">
        <v>33</v>
      </c>
      <c r="H29" s="11">
        <v>1</v>
      </c>
      <c r="I29" s="11">
        <f t="shared" si="1"/>
        <v>33</v>
      </c>
      <c r="J29" s="11">
        <v>1</v>
      </c>
      <c r="K29" s="11">
        <v>0</v>
      </c>
      <c r="L29" s="19">
        <v>200</v>
      </c>
      <c r="M29" s="21">
        <v>33</v>
      </c>
      <c r="N29" s="12" t="s">
        <v>59</v>
      </c>
      <c r="O29" s="30" t="s">
        <v>40</v>
      </c>
    </row>
    <row r="30" spans="1:15" s="27" customFormat="1" ht="25.5" customHeight="1" x14ac:dyDescent="0.15">
      <c r="A30" s="22">
        <v>28</v>
      </c>
      <c r="B30" s="22">
        <v>25</v>
      </c>
      <c r="C30" s="18" t="s">
        <v>142</v>
      </c>
      <c r="D30" s="19">
        <v>191</v>
      </c>
      <c r="E30" s="19">
        <v>1189.26</v>
      </c>
      <c r="F30" s="20">
        <f>(D30-E30)/E30</f>
        <v>-0.83939592687889952</v>
      </c>
      <c r="G30" s="21">
        <v>35</v>
      </c>
      <c r="H30" s="22">
        <v>1</v>
      </c>
      <c r="I30" s="22">
        <f t="shared" si="1"/>
        <v>35</v>
      </c>
      <c r="J30" s="22">
        <v>1</v>
      </c>
      <c r="K30" s="22">
        <v>10</v>
      </c>
      <c r="L30" s="19">
        <v>8722</v>
      </c>
      <c r="M30" s="21">
        <v>1527</v>
      </c>
      <c r="N30" s="23">
        <v>45065</v>
      </c>
      <c r="O30" s="30" t="s">
        <v>40</v>
      </c>
    </row>
    <row r="31" spans="1:15" s="27" customFormat="1" ht="24.75" customHeight="1" x14ac:dyDescent="0.15">
      <c r="A31" s="11">
        <v>29</v>
      </c>
      <c r="B31" s="22">
        <v>15</v>
      </c>
      <c r="C31" s="18" t="s">
        <v>97</v>
      </c>
      <c r="D31" s="19">
        <v>120</v>
      </c>
      <c r="E31" s="19">
        <v>2062.29</v>
      </c>
      <c r="F31" s="20">
        <f>(D31-E31)/E31</f>
        <v>-0.94181225724801065</v>
      </c>
      <c r="G31" s="21">
        <v>30</v>
      </c>
      <c r="H31" s="22">
        <v>1</v>
      </c>
      <c r="I31" s="22">
        <f t="shared" si="1"/>
        <v>30</v>
      </c>
      <c r="J31" s="22">
        <v>1</v>
      </c>
      <c r="K31" s="22">
        <v>12</v>
      </c>
      <c r="L31" s="19">
        <v>289864</v>
      </c>
      <c r="M31" s="21">
        <v>41258</v>
      </c>
      <c r="N31" s="23">
        <v>45051</v>
      </c>
      <c r="O31" s="30" t="s">
        <v>40</v>
      </c>
    </row>
    <row r="32" spans="1:15" s="27" customFormat="1" ht="25.5" customHeight="1" x14ac:dyDescent="0.15">
      <c r="A32" s="22">
        <v>30</v>
      </c>
      <c r="B32" s="22" t="s">
        <v>18</v>
      </c>
      <c r="C32" s="18" t="s">
        <v>190</v>
      </c>
      <c r="D32" s="8">
        <v>120</v>
      </c>
      <c r="E32" s="19" t="s">
        <v>18</v>
      </c>
      <c r="F32" s="19" t="s">
        <v>18</v>
      </c>
      <c r="G32" s="10">
        <v>48</v>
      </c>
      <c r="H32" s="11">
        <v>3</v>
      </c>
      <c r="I32" s="11">
        <f t="shared" si="1"/>
        <v>16</v>
      </c>
      <c r="J32" s="11">
        <v>1</v>
      </c>
      <c r="K32" s="22" t="s">
        <v>18</v>
      </c>
      <c r="L32" s="19">
        <v>102163.83</v>
      </c>
      <c r="M32" s="21">
        <v>21727</v>
      </c>
      <c r="N32" s="12">
        <v>44603</v>
      </c>
      <c r="O32" s="6" t="s">
        <v>13</v>
      </c>
    </row>
    <row r="33" spans="1:15" s="27" customFormat="1" ht="25.5" customHeight="1" x14ac:dyDescent="0.15">
      <c r="A33" s="22">
        <v>31</v>
      </c>
      <c r="B33" s="22">
        <v>29</v>
      </c>
      <c r="C33" s="18" t="s">
        <v>79</v>
      </c>
      <c r="D33" s="19">
        <v>94.3</v>
      </c>
      <c r="E33" s="19">
        <v>81.2</v>
      </c>
      <c r="F33" s="20">
        <f>(D33-E33)/E33</f>
        <v>0.16133004926108366</v>
      </c>
      <c r="G33" s="21">
        <v>13</v>
      </c>
      <c r="H33" s="22">
        <v>2</v>
      </c>
      <c r="I33" s="22">
        <f t="shared" si="1"/>
        <v>6.5</v>
      </c>
      <c r="J33" s="22">
        <v>2</v>
      </c>
      <c r="K33" s="20" t="s">
        <v>18</v>
      </c>
      <c r="L33" s="19">
        <v>46043</v>
      </c>
      <c r="M33" s="21">
        <v>5416</v>
      </c>
      <c r="N33" s="23">
        <v>45012</v>
      </c>
      <c r="O33" s="17" t="s">
        <v>68</v>
      </c>
    </row>
    <row r="34" spans="1:15" s="27" customFormat="1" ht="25.5" customHeight="1" x14ac:dyDescent="0.15">
      <c r="A34" s="11">
        <v>32</v>
      </c>
      <c r="B34" s="22">
        <v>28</v>
      </c>
      <c r="C34" s="7" t="s">
        <v>67</v>
      </c>
      <c r="D34" s="8">
        <v>66.8</v>
      </c>
      <c r="E34" s="19">
        <v>96</v>
      </c>
      <c r="F34" s="20" t="s">
        <v>18</v>
      </c>
      <c r="G34" s="10">
        <v>9</v>
      </c>
      <c r="H34" s="11">
        <v>1</v>
      </c>
      <c r="I34" s="22">
        <f t="shared" si="1"/>
        <v>9</v>
      </c>
      <c r="J34" s="11">
        <v>1</v>
      </c>
      <c r="K34" s="20" t="s">
        <v>18</v>
      </c>
      <c r="L34" s="19">
        <v>46855.37</v>
      </c>
      <c r="M34" s="21">
        <v>7528</v>
      </c>
      <c r="N34" s="12">
        <v>45012</v>
      </c>
      <c r="O34" s="6" t="s">
        <v>68</v>
      </c>
    </row>
    <row r="35" spans="1:15" s="27" customFormat="1" ht="25.5" customHeight="1" x14ac:dyDescent="0.15">
      <c r="A35" s="22">
        <v>33</v>
      </c>
      <c r="B35" s="22">
        <v>31</v>
      </c>
      <c r="C35" s="18" t="s">
        <v>106</v>
      </c>
      <c r="D35" s="19">
        <v>58.5</v>
      </c>
      <c r="E35" s="19">
        <v>49.9</v>
      </c>
      <c r="F35" s="20">
        <f>(D35-E35)/E35</f>
        <v>0.17234468937875755</v>
      </c>
      <c r="G35" s="21">
        <v>35</v>
      </c>
      <c r="H35" s="22">
        <v>3</v>
      </c>
      <c r="I35" s="22">
        <f t="shared" si="1"/>
        <v>11.666666666666666</v>
      </c>
      <c r="J35" s="22">
        <v>1</v>
      </c>
      <c r="K35" s="20" t="s">
        <v>18</v>
      </c>
      <c r="L35" s="19">
        <v>41278.080000000002</v>
      </c>
      <c r="M35" s="21">
        <v>6988</v>
      </c>
      <c r="N35" s="23">
        <v>44678</v>
      </c>
      <c r="O35" s="30" t="s">
        <v>16</v>
      </c>
    </row>
    <row r="36" spans="1:15" s="27" customFormat="1" ht="25.5" customHeight="1" x14ac:dyDescent="0.15">
      <c r="A36" s="22">
        <v>34</v>
      </c>
      <c r="B36" s="22" t="s">
        <v>18</v>
      </c>
      <c r="C36" s="7" t="s">
        <v>58</v>
      </c>
      <c r="D36" s="8">
        <v>51.8</v>
      </c>
      <c r="E36" s="19" t="s">
        <v>18</v>
      </c>
      <c r="F36" s="20" t="s">
        <v>18</v>
      </c>
      <c r="G36" s="10">
        <v>7</v>
      </c>
      <c r="H36" s="11">
        <v>1</v>
      </c>
      <c r="I36" s="11">
        <v>7</v>
      </c>
      <c r="J36" s="11">
        <v>1</v>
      </c>
      <c r="K36" s="11" t="s">
        <v>18</v>
      </c>
      <c r="L36" s="19">
        <v>11036.47</v>
      </c>
      <c r="M36" s="21">
        <v>1809</v>
      </c>
      <c r="N36" s="12">
        <v>45044</v>
      </c>
      <c r="O36" s="6" t="s">
        <v>16</v>
      </c>
    </row>
    <row r="37" spans="1:15" s="27" customFormat="1" ht="25.5" customHeight="1" x14ac:dyDescent="0.15">
      <c r="A37" s="11">
        <v>35</v>
      </c>
      <c r="B37" s="22">
        <v>32</v>
      </c>
      <c r="C37" s="7" t="s">
        <v>102</v>
      </c>
      <c r="D37" s="8">
        <v>35.1</v>
      </c>
      <c r="E37" s="19">
        <v>29.6</v>
      </c>
      <c r="F37" s="20">
        <f>(D37-E37)/E37</f>
        <v>0.1858108108108108</v>
      </c>
      <c r="G37" s="10">
        <v>5</v>
      </c>
      <c r="H37" s="11">
        <v>1</v>
      </c>
      <c r="I37" s="22">
        <f>G37/H37</f>
        <v>5</v>
      </c>
      <c r="J37" s="11">
        <v>1</v>
      </c>
      <c r="K37" s="11" t="s">
        <v>18</v>
      </c>
      <c r="L37" s="19">
        <v>4075</v>
      </c>
      <c r="M37" s="21">
        <v>720</v>
      </c>
      <c r="N37" s="12">
        <v>45051</v>
      </c>
      <c r="O37" s="6" t="s">
        <v>68</v>
      </c>
    </row>
    <row r="38" spans="1:15" s="27" customFormat="1" ht="25.5" customHeight="1" x14ac:dyDescent="0.15">
      <c r="A38" s="22">
        <v>36</v>
      </c>
      <c r="B38" s="22" t="s">
        <v>18</v>
      </c>
      <c r="C38" s="7" t="s">
        <v>217</v>
      </c>
      <c r="D38" s="8">
        <v>27</v>
      </c>
      <c r="E38" s="19" t="s">
        <v>18</v>
      </c>
      <c r="F38" s="20" t="s">
        <v>18</v>
      </c>
      <c r="G38" s="10">
        <v>8</v>
      </c>
      <c r="H38" s="11">
        <v>1</v>
      </c>
      <c r="I38" s="11">
        <v>8</v>
      </c>
      <c r="J38" s="11">
        <v>1</v>
      </c>
      <c r="K38" s="11" t="s">
        <v>18</v>
      </c>
      <c r="L38" s="19">
        <v>169950.07999999999</v>
      </c>
      <c r="M38" s="21">
        <v>35160</v>
      </c>
      <c r="N38" s="12">
        <v>44925</v>
      </c>
      <c r="O38" s="6" t="s">
        <v>16</v>
      </c>
    </row>
    <row r="39" spans="1:15" s="27" customFormat="1" ht="25.5" customHeight="1" x14ac:dyDescent="0.15">
      <c r="A39" s="22">
        <v>37</v>
      </c>
      <c r="B39" s="70" t="s">
        <v>18</v>
      </c>
      <c r="C39" s="18" t="s">
        <v>34</v>
      </c>
      <c r="D39" s="8">
        <v>17</v>
      </c>
      <c r="E39" s="19" t="s">
        <v>18</v>
      </c>
      <c r="F39" s="20" t="s">
        <v>18</v>
      </c>
      <c r="G39" s="10">
        <v>5</v>
      </c>
      <c r="H39" s="11">
        <v>1</v>
      </c>
      <c r="I39" s="11">
        <f>G39/H39</f>
        <v>5</v>
      </c>
      <c r="J39" s="11">
        <v>1</v>
      </c>
      <c r="K39" s="11" t="s">
        <v>18</v>
      </c>
      <c r="L39" s="19">
        <v>73071.509999999995</v>
      </c>
      <c r="M39" s="21">
        <v>15367</v>
      </c>
      <c r="N39" s="23">
        <v>44981</v>
      </c>
      <c r="O39" s="17" t="s">
        <v>16</v>
      </c>
    </row>
    <row r="40" spans="1:15" s="27" customFormat="1" ht="25.5" customHeight="1" x14ac:dyDescent="0.15">
      <c r="A40" s="11">
        <v>38</v>
      </c>
      <c r="B40" s="11" t="s">
        <v>18</v>
      </c>
      <c r="C40" s="7" t="s">
        <v>197</v>
      </c>
      <c r="D40" s="8">
        <v>16</v>
      </c>
      <c r="E40" s="11" t="s">
        <v>18</v>
      </c>
      <c r="F40" s="11" t="s">
        <v>18</v>
      </c>
      <c r="G40" s="10">
        <v>4</v>
      </c>
      <c r="H40" s="11">
        <v>1</v>
      </c>
      <c r="I40" s="11">
        <f>G40/H40</f>
        <v>4</v>
      </c>
      <c r="J40" s="11">
        <v>1</v>
      </c>
      <c r="K40" s="11" t="s">
        <v>18</v>
      </c>
      <c r="L40" s="19">
        <v>44796.79</v>
      </c>
      <c r="M40" s="21">
        <v>7321</v>
      </c>
      <c r="N40" s="12">
        <v>44932</v>
      </c>
      <c r="O40" s="6" t="s">
        <v>16</v>
      </c>
    </row>
    <row r="41" spans="1:15" s="27" customFormat="1" ht="25.5" customHeight="1" x14ac:dyDescent="0.15">
      <c r="A41" s="22">
        <v>39</v>
      </c>
      <c r="B41" s="22">
        <v>36</v>
      </c>
      <c r="C41" s="18" t="s">
        <v>208</v>
      </c>
      <c r="D41" s="19">
        <v>8</v>
      </c>
      <c r="E41" s="19">
        <v>6</v>
      </c>
      <c r="F41" s="20">
        <f>(D41-E41)/E41</f>
        <v>0.33333333333333331</v>
      </c>
      <c r="G41" s="21">
        <v>2</v>
      </c>
      <c r="H41" s="22">
        <v>1</v>
      </c>
      <c r="I41" s="22">
        <f>G41/H41</f>
        <v>2</v>
      </c>
      <c r="J41" s="22">
        <v>1</v>
      </c>
      <c r="K41" s="22">
        <v>3</v>
      </c>
      <c r="L41" s="19">
        <v>161.9</v>
      </c>
      <c r="M41" s="21">
        <v>28</v>
      </c>
      <c r="N41" s="23">
        <v>45114</v>
      </c>
      <c r="O41" s="17" t="s">
        <v>48</v>
      </c>
    </row>
    <row r="42" spans="1:15" s="61" customFormat="1" ht="25.5" customHeight="1" x14ac:dyDescent="0.2">
      <c r="A42" s="22">
        <v>40</v>
      </c>
      <c r="B42" s="22" t="s">
        <v>18</v>
      </c>
      <c r="C42" s="7" t="s">
        <v>220</v>
      </c>
      <c r="D42" s="8">
        <v>2</v>
      </c>
      <c r="E42" s="19" t="s">
        <v>18</v>
      </c>
      <c r="F42" s="20" t="s">
        <v>18</v>
      </c>
      <c r="G42" s="10">
        <v>2</v>
      </c>
      <c r="H42" s="11">
        <v>1</v>
      </c>
      <c r="I42" s="11">
        <v>2</v>
      </c>
      <c r="J42" s="11">
        <v>1</v>
      </c>
      <c r="K42" s="11" t="s">
        <v>18</v>
      </c>
      <c r="L42" s="19">
        <v>22039.09</v>
      </c>
      <c r="M42" s="21">
        <v>3525</v>
      </c>
      <c r="N42" s="12">
        <v>44875</v>
      </c>
      <c r="O42" s="6" t="s">
        <v>30</v>
      </c>
    </row>
    <row r="43" spans="1:15" s="45" customFormat="1" ht="25.5" customHeight="1" x14ac:dyDescent="0.2">
      <c r="A43" s="67"/>
      <c r="B43" s="67"/>
      <c r="C43" s="46" t="s">
        <v>138</v>
      </c>
      <c r="D43" s="47">
        <f>SUBTOTAL(109,Table13245879101112131415[Pajamos 
(GBO)])</f>
        <v>953915.18</v>
      </c>
      <c r="E43" s="47" t="s">
        <v>227</v>
      </c>
      <c r="F43" s="42">
        <f t="shared" ref="F43" si="3">(D43-E43)/E43</f>
        <v>1.8725463141411709</v>
      </c>
      <c r="G43" s="43">
        <f>SUBTOTAL(109,Table13245879101112131415[Žiūrovų sk. 
(ADM)])</f>
        <v>148013</v>
      </c>
      <c r="H43" s="51"/>
      <c r="I43" s="46"/>
      <c r="J43" s="51"/>
      <c r="K43" s="46"/>
      <c r="L43" s="53"/>
      <c r="M43" s="55"/>
      <c r="N43" s="60"/>
      <c r="O43" s="46"/>
    </row>
    <row r="44" spans="1:15" hidden="1" x14ac:dyDescent="0.15">
      <c r="A44" s="1"/>
      <c r="B44" s="1"/>
      <c r="D44" s="1"/>
      <c r="E44" s="1"/>
      <c r="F44" s="1"/>
      <c r="G44" s="1"/>
      <c r="H44" s="1"/>
      <c r="J44" s="1"/>
      <c r="K44" s="1"/>
      <c r="L44" s="1"/>
      <c r="M44" s="1"/>
      <c r="N44" s="1"/>
    </row>
    <row r="45" spans="1:15" hidden="1" x14ac:dyDescent="0.15">
      <c r="A45" s="1"/>
      <c r="B45" s="1"/>
      <c r="D45" s="1"/>
      <c r="E45" s="1"/>
      <c r="F45" s="1"/>
      <c r="G45" s="1"/>
      <c r="H45" s="1"/>
      <c r="J45" s="1"/>
      <c r="K45" s="1"/>
      <c r="L45" s="1"/>
      <c r="M45" s="1"/>
      <c r="N45" s="1"/>
    </row>
    <row r="46" spans="1:15" hidden="1" x14ac:dyDescent="0.15">
      <c r="A46" s="1"/>
      <c r="B46" s="1"/>
      <c r="D46" s="1"/>
      <c r="E46" s="1"/>
      <c r="F46" s="1"/>
      <c r="G46" s="1"/>
      <c r="H46" s="1"/>
      <c r="J46" s="1"/>
      <c r="K46" s="1"/>
      <c r="L46" s="1"/>
      <c r="M46" s="1"/>
      <c r="N46" s="1"/>
    </row>
    <row r="47" spans="1:15" hidden="1" x14ac:dyDescent="0.15">
      <c r="A47" s="1"/>
      <c r="B47" s="1"/>
      <c r="D47" s="1"/>
      <c r="E47" s="1"/>
      <c r="F47" s="1"/>
      <c r="G47" s="1"/>
      <c r="H47" s="1"/>
      <c r="J47" s="1"/>
      <c r="K47" s="1"/>
      <c r="L47" s="1"/>
      <c r="M47" s="1"/>
      <c r="N47" s="1"/>
    </row>
    <row r="48" spans="1:15" hidden="1" x14ac:dyDescent="0.15">
      <c r="A48" s="1"/>
      <c r="B48" s="1"/>
      <c r="D48" s="1"/>
      <c r="F48" s="1"/>
      <c r="G48" s="1"/>
      <c r="H48" s="1"/>
      <c r="J48" s="1"/>
      <c r="K48" s="1"/>
      <c r="L48" s="1"/>
      <c r="M48" s="1"/>
      <c r="N48" s="1"/>
    </row>
    <row r="49" s="1" customFormat="1" hidden="1" x14ac:dyDescent="0.15"/>
    <row r="50" s="1" customFormat="1" hidden="1" x14ac:dyDescent="0.15"/>
    <row r="51" s="1" customFormat="1" hidden="1" x14ac:dyDescent="0.15"/>
    <row r="52" s="1" customFormat="1" hidden="1" x14ac:dyDescent="0.15"/>
    <row r="53" s="1" customFormat="1" hidden="1" x14ac:dyDescent="0.15"/>
    <row r="54" s="1" customFormat="1" hidden="1" x14ac:dyDescent="0.15"/>
    <row r="55" s="1" customFormat="1" hidden="1" x14ac:dyDescent="0.15"/>
  </sheetData>
  <mergeCells count="1">
    <mergeCell ref="A1:O1"/>
  </mergeCells>
  <phoneticPr fontId="7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A8B04-88EE-4549-8434-E4DC130C195E}">
  <sheetPr>
    <pageSetUpPr fitToPage="1"/>
  </sheetPr>
  <dimension ref="A1:XFC39"/>
  <sheetViews>
    <sheetView topLeftCell="A12" zoomScale="60" zoomScaleNormal="60" workbookViewId="0">
      <selection activeCell="C35" sqref="C35:O35"/>
    </sheetView>
  </sheetViews>
  <sheetFormatPr defaultColWidth="0" defaultRowHeight="11.25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8" width="20.7109375" style="38" customWidth="1"/>
    <col min="9" max="9" width="20.7109375" style="1" customWidth="1"/>
    <col min="10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211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15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5" customHeight="1" x14ac:dyDescent="0.2">
      <c r="A3" s="22">
        <v>1</v>
      </c>
      <c r="B3" s="22" t="s">
        <v>31</v>
      </c>
      <c r="C3" s="25" t="s">
        <v>209</v>
      </c>
      <c r="D3" s="19">
        <v>74405.97</v>
      </c>
      <c r="E3" s="19" t="s">
        <v>18</v>
      </c>
      <c r="F3" s="20" t="s">
        <v>18</v>
      </c>
      <c r="G3" s="21">
        <v>10301</v>
      </c>
      <c r="H3" s="22">
        <v>311</v>
      </c>
      <c r="I3" s="22">
        <f t="shared" ref="I3:I38" si="0">G3/H3</f>
        <v>33.122186495176848</v>
      </c>
      <c r="J3" s="22">
        <v>17</v>
      </c>
      <c r="K3" s="22">
        <v>1</v>
      </c>
      <c r="L3" s="19">
        <v>87090.66</v>
      </c>
      <c r="M3" s="21">
        <v>11964</v>
      </c>
      <c r="N3" s="23">
        <v>45121</v>
      </c>
      <c r="O3" s="30" t="s">
        <v>180</v>
      </c>
    </row>
    <row r="4" spans="1:18" s="24" customFormat="1" ht="25.9" customHeight="1" x14ac:dyDescent="0.2">
      <c r="A4" s="22">
        <v>2</v>
      </c>
      <c r="B4" s="22" t="s">
        <v>31</v>
      </c>
      <c r="C4" s="25" t="s">
        <v>198</v>
      </c>
      <c r="D4" s="19">
        <v>60954.38</v>
      </c>
      <c r="E4" s="19" t="s">
        <v>18</v>
      </c>
      <c r="F4" s="20" t="s">
        <v>18</v>
      </c>
      <c r="G4" s="21">
        <v>12271</v>
      </c>
      <c r="H4" s="22">
        <v>366</v>
      </c>
      <c r="I4" s="22">
        <f t="shared" si="0"/>
        <v>33.527322404371581</v>
      </c>
      <c r="J4" s="22">
        <v>16</v>
      </c>
      <c r="K4" s="22">
        <v>1</v>
      </c>
      <c r="L4" s="19">
        <v>72875.02</v>
      </c>
      <c r="M4" s="21">
        <v>14488</v>
      </c>
      <c r="N4" s="23">
        <v>45121</v>
      </c>
      <c r="O4" s="17" t="s">
        <v>13</v>
      </c>
    </row>
    <row r="5" spans="1:18" s="24" customFormat="1" ht="25.9" customHeight="1" x14ac:dyDescent="0.2">
      <c r="A5" s="22">
        <v>3</v>
      </c>
      <c r="B5" s="22">
        <v>1</v>
      </c>
      <c r="C5" s="25" t="s">
        <v>203</v>
      </c>
      <c r="D5" s="19">
        <v>50168.19</v>
      </c>
      <c r="E5" s="19">
        <v>77977.600000000006</v>
      </c>
      <c r="F5" s="20">
        <f>(D5-E5)/E5</f>
        <v>-0.35663331520847014</v>
      </c>
      <c r="G5" s="21">
        <v>7204</v>
      </c>
      <c r="H5" s="22">
        <v>198</v>
      </c>
      <c r="I5" s="22">
        <f t="shared" si="0"/>
        <v>36.383838383838381</v>
      </c>
      <c r="J5" s="22">
        <v>12</v>
      </c>
      <c r="K5" s="22">
        <v>2</v>
      </c>
      <c r="L5" s="19">
        <v>142547.96</v>
      </c>
      <c r="M5" s="21">
        <v>19974</v>
      </c>
      <c r="N5" s="23">
        <v>45114</v>
      </c>
      <c r="O5" s="36" t="s">
        <v>12</v>
      </c>
      <c r="R5" s="17"/>
    </row>
    <row r="6" spans="1:18" s="24" customFormat="1" ht="25.9" customHeight="1" x14ac:dyDescent="0.2">
      <c r="A6" s="22">
        <v>4</v>
      </c>
      <c r="B6" s="22" t="s">
        <v>57</v>
      </c>
      <c r="C6" s="25" t="s">
        <v>213</v>
      </c>
      <c r="D6" s="19">
        <v>34792.050000000003</v>
      </c>
      <c r="E6" s="19" t="s">
        <v>18</v>
      </c>
      <c r="F6" s="20" t="s">
        <v>18</v>
      </c>
      <c r="G6" s="21">
        <v>6038</v>
      </c>
      <c r="H6" s="22">
        <v>28</v>
      </c>
      <c r="I6" s="22">
        <f t="shared" si="0"/>
        <v>215.64285714285714</v>
      </c>
      <c r="J6" s="22">
        <v>10</v>
      </c>
      <c r="K6" s="22">
        <v>0</v>
      </c>
      <c r="L6" s="19">
        <v>34792.050000000003</v>
      </c>
      <c r="M6" s="21">
        <v>6038</v>
      </c>
      <c r="N6" s="23" t="s">
        <v>59</v>
      </c>
      <c r="O6" s="17" t="s">
        <v>14</v>
      </c>
      <c r="R6" s="17"/>
    </row>
    <row r="7" spans="1:18" s="24" customFormat="1" ht="25.9" customHeight="1" x14ac:dyDescent="0.2">
      <c r="A7" s="22">
        <v>5</v>
      </c>
      <c r="B7" s="22">
        <v>2</v>
      </c>
      <c r="C7" s="25" t="s">
        <v>181</v>
      </c>
      <c r="D7" s="19">
        <v>30287.16</v>
      </c>
      <c r="E7" s="19">
        <v>39535.79</v>
      </c>
      <c r="F7" s="20">
        <f t="shared" ref="F7:F13" si="1">(D7-E7)/E7</f>
        <v>-0.23393057277975224</v>
      </c>
      <c r="G7" s="21">
        <v>6061</v>
      </c>
      <c r="H7" s="22">
        <v>193</v>
      </c>
      <c r="I7" s="22">
        <f t="shared" si="0"/>
        <v>31.404145077720209</v>
      </c>
      <c r="J7" s="22">
        <v>17</v>
      </c>
      <c r="K7" s="22">
        <v>5</v>
      </c>
      <c r="L7" s="19">
        <v>326875.76</v>
      </c>
      <c r="M7" s="21">
        <v>64510</v>
      </c>
      <c r="N7" s="23">
        <v>45093</v>
      </c>
      <c r="O7" s="30" t="s">
        <v>40</v>
      </c>
      <c r="R7" s="17"/>
    </row>
    <row r="8" spans="1:18" s="24" customFormat="1" ht="25.5" customHeight="1" x14ac:dyDescent="0.2">
      <c r="A8" s="22">
        <v>6</v>
      </c>
      <c r="B8" s="22">
        <v>3</v>
      </c>
      <c r="C8" s="25" t="s">
        <v>199</v>
      </c>
      <c r="D8" s="19">
        <v>14375.3</v>
      </c>
      <c r="E8" s="19">
        <v>24363.89</v>
      </c>
      <c r="F8" s="20">
        <f t="shared" si="1"/>
        <v>-0.40997517227339314</v>
      </c>
      <c r="G8" s="21">
        <v>2240</v>
      </c>
      <c r="H8" s="22">
        <v>140</v>
      </c>
      <c r="I8" s="22">
        <f t="shared" si="0"/>
        <v>16</v>
      </c>
      <c r="J8" s="22">
        <v>12</v>
      </c>
      <c r="K8" s="22">
        <v>3</v>
      </c>
      <c r="L8" s="19">
        <v>103852.86</v>
      </c>
      <c r="M8" s="21">
        <v>15245</v>
      </c>
      <c r="N8" s="23">
        <v>45107</v>
      </c>
      <c r="O8" s="36" t="s">
        <v>40</v>
      </c>
      <c r="R8" s="17"/>
    </row>
    <row r="9" spans="1:18" s="24" customFormat="1" ht="25.5" customHeight="1" x14ac:dyDescent="0.2">
      <c r="A9" s="22">
        <v>7</v>
      </c>
      <c r="B9" s="22">
        <v>6</v>
      </c>
      <c r="C9" s="25" t="s">
        <v>188</v>
      </c>
      <c r="D9" s="19">
        <v>12577.97</v>
      </c>
      <c r="E9" s="19">
        <v>14434.46</v>
      </c>
      <c r="F9" s="20">
        <f t="shared" si="1"/>
        <v>-0.12861513350689946</v>
      </c>
      <c r="G9" s="21">
        <v>1814</v>
      </c>
      <c r="H9" s="22">
        <v>83</v>
      </c>
      <c r="I9" s="22">
        <f t="shared" si="0"/>
        <v>21.85542168674699</v>
      </c>
      <c r="J9" s="22">
        <v>9</v>
      </c>
      <c r="K9" s="22">
        <v>4</v>
      </c>
      <c r="L9" s="19">
        <v>117408.39</v>
      </c>
      <c r="M9" s="21">
        <v>16938</v>
      </c>
      <c r="N9" s="23">
        <v>45100</v>
      </c>
      <c r="O9" s="35" t="s">
        <v>12</v>
      </c>
      <c r="R9" s="17"/>
    </row>
    <row r="10" spans="1:18" s="24" customFormat="1" ht="25.9" customHeight="1" x14ac:dyDescent="0.2">
      <c r="A10" s="22">
        <v>8</v>
      </c>
      <c r="B10" s="22">
        <v>5</v>
      </c>
      <c r="C10" s="25" t="s">
        <v>151</v>
      </c>
      <c r="D10" s="19">
        <v>12190.53</v>
      </c>
      <c r="E10" s="19">
        <v>16688.46</v>
      </c>
      <c r="F10" s="20">
        <f t="shared" si="1"/>
        <v>-0.26952337123976683</v>
      </c>
      <c r="G10" s="21">
        <v>2087</v>
      </c>
      <c r="H10" s="22">
        <v>85</v>
      </c>
      <c r="I10" s="22">
        <f t="shared" si="0"/>
        <v>24.55294117647059</v>
      </c>
      <c r="J10" s="22">
        <v>8</v>
      </c>
      <c r="K10" s="22">
        <v>7</v>
      </c>
      <c r="L10" s="19">
        <v>319616.06</v>
      </c>
      <c r="M10" s="21">
        <v>53840</v>
      </c>
      <c r="N10" s="23">
        <v>45079</v>
      </c>
      <c r="O10" s="36" t="s">
        <v>12</v>
      </c>
      <c r="R10" s="17"/>
    </row>
    <row r="11" spans="1:18" s="24" customFormat="1" ht="25.9" customHeight="1" x14ac:dyDescent="0.2">
      <c r="A11" s="22">
        <v>9</v>
      </c>
      <c r="B11" s="22">
        <v>4</v>
      </c>
      <c r="C11" s="25" t="s">
        <v>200</v>
      </c>
      <c r="D11" s="19">
        <v>11703.51</v>
      </c>
      <c r="E11" s="19">
        <v>21583.360000000001</v>
      </c>
      <c r="F11" s="20">
        <f t="shared" si="1"/>
        <v>-0.45775310238998934</v>
      </c>
      <c r="G11" s="21">
        <v>2462</v>
      </c>
      <c r="H11" s="22">
        <v>140</v>
      </c>
      <c r="I11" s="22">
        <f t="shared" si="0"/>
        <v>17.585714285714285</v>
      </c>
      <c r="J11" s="22">
        <v>15</v>
      </c>
      <c r="K11" s="22">
        <v>3</v>
      </c>
      <c r="L11" s="19">
        <v>74299.25</v>
      </c>
      <c r="M11" s="21">
        <v>15845</v>
      </c>
      <c r="N11" s="23">
        <v>45107</v>
      </c>
      <c r="O11" s="30" t="s">
        <v>179</v>
      </c>
      <c r="R11" s="17"/>
    </row>
    <row r="12" spans="1:18" s="24" customFormat="1" ht="25.9" customHeight="1" x14ac:dyDescent="0.2">
      <c r="A12" s="22">
        <v>10</v>
      </c>
      <c r="B12" s="22">
        <v>8</v>
      </c>
      <c r="C12" s="25" t="s">
        <v>173</v>
      </c>
      <c r="D12" s="19">
        <v>7290.18</v>
      </c>
      <c r="E12" s="19">
        <v>11701.95</v>
      </c>
      <c r="F12" s="20">
        <f t="shared" si="1"/>
        <v>-0.37701152372040558</v>
      </c>
      <c r="G12" s="21">
        <v>1175</v>
      </c>
      <c r="H12" s="22">
        <v>54</v>
      </c>
      <c r="I12" s="22">
        <f t="shared" si="0"/>
        <v>21.75925925925926</v>
      </c>
      <c r="J12" s="22">
        <v>8</v>
      </c>
      <c r="K12" s="22">
        <v>6</v>
      </c>
      <c r="L12" s="19">
        <v>172019.87</v>
      </c>
      <c r="M12" s="21">
        <v>26532</v>
      </c>
      <c r="N12" s="23">
        <v>45086</v>
      </c>
      <c r="O12" s="30" t="s">
        <v>180</v>
      </c>
      <c r="R12" s="17"/>
    </row>
    <row r="13" spans="1:18" s="24" customFormat="1" ht="25.9" customHeight="1" x14ac:dyDescent="0.2">
      <c r="A13" s="22">
        <v>11</v>
      </c>
      <c r="B13" s="22">
        <v>10</v>
      </c>
      <c r="C13" s="25" t="s">
        <v>204</v>
      </c>
      <c r="D13" s="19">
        <v>3997.8</v>
      </c>
      <c r="E13" s="19">
        <v>7256.08</v>
      </c>
      <c r="F13" s="20">
        <f t="shared" si="1"/>
        <v>-0.44904135566311282</v>
      </c>
      <c r="G13" s="21">
        <v>592</v>
      </c>
      <c r="H13" s="22">
        <v>51</v>
      </c>
      <c r="I13" s="22">
        <f t="shared" si="0"/>
        <v>11.607843137254902</v>
      </c>
      <c r="J13" s="22">
        <v>7</v>
      </c>
      <c r="K13" s="22">
        <v>2</v>
      </c>
      <c r="L13" s="19">
        <v>11899.63</v>
      </c>
      <c r="M13" s="21">
        <v>1896</v>
      </c>
      <c r="N13" s="23">
        <v>45114</v>
      </c>
      <c r="O13" s="30" t="s">
        <v>13</v>
      </c>
      <c r="R13" s="17"/>
    </row>
    <row r="14" spans="1:18" s="24" customFormat="1" ht="25.9" customHeight="1" x14ac:dyDescent="0.2">
      <c r="A14" s="22">
        <v>12</v>
      </c>
      <c r="B14" s="22" t="s">
        <v>31</v>
      </c>
      <c r="C14" s="25" t="s">
        <v>214</v>
      </c>
      <c r="D14" s="19">
        <v>3338.37</v>
      </c>
      <c r="E14" s="19" t="s">
        <v>18</v>
      </c>
      <c r="F14" s="20" t="s">
        <v>18</v>
      </c>
      <c r="G14" s="21">
        <v>536</v>
      </c>
      <c r="H14" s="22">
        <v>33</v>
      </c>
      <c r="I14" s="22">
        <f t="shared" si="0"/>
        <v>16.242424242424242</v>
      </c>
      <c r="J14" s="22">
        <v>8</v>
      </c>
      <c r="K14" s="22">
        <v>1</v>
      </c>
      <c r="L14" s="19">
        <v>3338.37</v>
      </c>
      <c r="M14" s="21">
        <v>536</v>
      </c>
      <c r="N14" s="23">
        <v>45121</v>
      </c>
      <c r="O14" s="35" t="s">
        <v>117</v>
      </c>
      <c r="R14" s="17"/>
    </row>
    <row r="15" spans="1:18" s="24" customFormat="1" ht="25.9" customHeight="1" x14ac:dyDescent="0.2">
      <c r="A15" s="22">
        <v>13</v>
      </c>
      <c r="B15" s="22">
        <v>11</v>
      </c>
      <c r="C15" s="25" t="s">
        <v>174</v>
      </c>
      <c r="D15" s="19">
        <v>3310.06</v>
      </c>
      <c r="E15" s="19">
        <v>3988.7</v>
      </c>
      <c r="F15" s="20">
        <f>(D15-E15)/E15</f>
        <v>-0.17014064732870357</v>
      </c>
      <c r="G15" s="21">
        <v>483</v>
      </c>
      <c r="H15" s="22">
        <v>31</v>
      </c>
      <c r="I15" s="22">
        <f t="shared" si="0"/>
        <v>15.580645161290322</v>
      </c>
      <c r="J15" s="22">
        <v>4</v>
      </c>
      <c r="K15" s="22">
        <v>6</v>
      </c>
      <c r="L15" s="19">
        <v>55512.78</v>
      </c>
      <c r="M15" s="21">
        <v>8909</v>
      </c>
      <c r="N15" s="23">
        <v>45086</v>
      </c>
      <c r="O15" s="30" t="s">
        <v>179</v>
      </c>
      <c r="R15" s="17"/>
    </row>
    <row r="16" spans="1:18" s="24" customFormat="1" ht="25.9" customHeight="1" x14ac:dyDescent="0.2">
      <c r="A16" s="22">
        <v>14</v>
      </c>
      <c r="B16" s="22">
        <v>12</v>
      </c>
      <c r="C16" s="18" t="s">
        <v>11</v>
      </c>
      <c r="D16" s="19">
        <v>3170.07</v>
      </c>
      <c r="E16" s="19">
        <v>3089.89</v>
      </c>
      <c r="F16" s="20">
        <f>(D16-E16)/E16</f>
        <v>2.5949143820653903E-2</v>
      </c>
      <c r="G16" s="21">
        <v>682</v>
      </c>
      <c r="H16" s="22">
        <v>38</v>
      </c>
      <c r="I16" s="22">
        <f t="shared" si="0"/>
        <v>17.94736842105263</v>
      </c>
      <c r="J16" s="22">
        <v>6</v>
      </c>
      <c r="K16" s="22">
        <v>15</v>
      </c>
      <c r="L16" s="19">
        <v>588326.03</v>
      </c>
      <c r="M16" s="21">
        <v>108322</v>
      </c>
      <c r="N16" s="23">
        <v>45023</v>
      </c>
      <c r="O16" s="30" t="s">
        <v>179</v>
      </c>
      <c r="R16" s="17"/>
    </row>
    <row r="17" spans="1:15" s="27" customFormat="1" ht="25.9" customHeight="1" x14ac:dyDescent="0.15">
      <c r="A17" s="22">
        <v>15</v>
      </c>
      <c r="B17" s="22">
        <v>13</v>
      </c>
      <c r="C17" s="25" t="s">
        <v>97</v>
      </c>
      <c r="D17" s="19">
        <v>2062.29</v>
      </c>
      <c r="E17" s="19">
        <v>2753.4</v>
      </c>
      <c r="F17" s="20">
        <f>(D17-E17)/E17</f>
        <v>-0.25100239703639143</v>
      </c>
      <c r="G17" s="21">
        <v>336</v>
      </c>
      <c r="H17" s="22">
        <v>14</v>
      </c>
      <c r="I17" s="22">
        <f t="shared" si="0"/>
        <v>24</v>
      </c>
      <c r="J17" s="22">
        <v>3</v>
      </c>
      <c r="K17" s="22">
        <v>11</v>
      </c>
      <c r="L17" s="19">
        <v>289743.83</v>
      </c>
      <c r="M17" s="21">
        <v>41228</v>
      </c>
      <c r="N17" s="23">
        <v>45051</v>
      </c>
      <c r="O17" s="36" t="s">
        <v>40</v>
      </c>
    </row>
    <row r="18" spans="1:15" s="27" customFormat="1" ht="25.9" customHeight="1" x14ac:dyDescent="0.15">
      <c r="A18" s="22">
        <v>16</v>
      </c>
      <c r="B18" s="22">
        <v>14</v>
      </c>
      <c r="C18" s="18" t="s">
        <v>143</v>
      </c>
      <c r="D18" s="19">
        <v>1603.67</v>
      </c>
      <c r="E18" s="19">
        <v>2512.4499999999998</v>
      </c>
      <c r="F18" s="20">
        <f>(D18-E18)/E18</f>
        <v>-0.36171068080956825</v>
      </c>
      <c r="G18" s="21">
        <v>299</v>
      </c>
      <c r="H18" s="22">
        <v>18</v>
      </c>
      <c r="I18" s="22">
        <f t="shared" si="0"/>
        <v>16.611111111111111</v>
      </c>
      <c r="J18" s="22">
        <v>3</v>
      </c>
      <c r="K18" s="22">
        <v>8</v>
      </c>
      <c r="L18" s="19">
        <v>92572.74</v>
      </c>
      <c r="M18" s="21">
        <v>17633</v>
      </c>
      <c r="N18" s="23">
        <v>45072</v>
      </c>
      <c r="O18" s="30" t="s">
        <v>40</v>
      </c>
    </row>
    <row r="19" spans="1:15" s="61" customFormat="1" ht="25.5" customHeight="1" x14ac:dyDescent="0.2">
      <c r="A19" s="22">
        <v>17</v>
      </c>
      <c r="B19" s="22">
        <v>15</v>
      </c>
      <c r="C19" s="25" t="s">
        <v>171</v>
      </c>
      <c r="D19" s="19">
        <v>1189.26</v>
      </c>
      <c r="E19" s="19">
        <v>1623.03</v>
      </c>
      <c r="F19" s="20">
        <f>(D19-E19)/E19</f>
        <v>-0.267259385223933</v>
      </c>
      <c r="G19" s="21">
        <v>187</v>
      </c>
      <c r="H19" s="22">
        <v>9</v>
      </c>
      <c r="I19" s="22">
        <f t="shared" si="0"/>
        <v>20.777777777777779</v>
      </c>
      <c r="J19" s="22">
        <v>2</v>
      </c>
      <c r="K19" s="22">
        <v>7</v>
      </c>
      <c r="L19" s="19">
        <v>75544.679999999993</v>
      </c>
      <c r="M19" s="21">
        <v>12115</v>
      </c>
      <c r="N19" s="23">
        <v>45079</v>
      </c>
      <c r="O19" s="30" t="s">
        <v>40</v>
      </c>
    </row>
    <row r="20" spans="1:15" s="27" customFormat="1" ht="25.5" customHeight="1" x14ac:dyDescent="0.15">
      <c r="A20" s="22">
        <v>18</v>
      </c>
      <c r="B20" s="22" t="s">
        <v>18</v>
      </c>
      <c r="C20" s="13" t="s">
        <v>44</v>
      </c>
      <c r="D20" s="8">
        <v>843.5</v>
      </c>
      <c r="E20" s="19" t="s">
        <v>18</v>
      </c>
      <c r="F20" s="20" t="s">
        <v>18</v>
      </c>
      <c r="G20" s="10">
        <v>352</v>
      </c>
      <c r="H20" s="11">
        <v>14</v>
      </c>
      <c r="I20" s="22">
        <f t="shared" si="0"/>
        <v>25.142857142857142</v>
      </c>
      <c r="J20" s="11">
        <v>2</v>
      </c>
      <c r="K20" s="20" t="s">
        <v>18</v>
      </c>
      <c r="L20" s="19">
        <v>1046076.89</v>
      </c>
      <c r="M20" s="21">
        <v>194871</v>
      </c>
      <c r="N20" s="12">
        <v>44916</v>
      </c>
      <c r="O20" s="31" t="s">
        <v>179</v>
      </c>
    </row>
    <row r="21" spans="1:15" s="61" customFormat="1" ht="25.5" customHeight="1" x14ac:dyDescent="0.2">
      <c r="A21" s="22">
        <v>19</v>
      </c>
      <c r="B21" s="22">
        <v>22</v>
      </c>
      <c r="C21" s="25" t="s">
        <v>156</v>
      </c>
      <c r="D21" s="19">
        <v>663.5</v>
      </c>
      <c r="E21" s="19">
        <v>435</v>
      </c>
      <c r="F21" s="20">
        <f>(D21-E21)/E21</f>
        <v>0.52528735632183909</v>
      </c>
      <c r="G21" s="21">
        <v>283</v>
      </c>
      <c r="H21" s="22">
        <v>14</v>
      </c>
      <c r="I21" s="22">
        <f t="shared" si="0"/>
        <v>20.214285714285715</v>
      </c>
      <c r="J21" s="22">
        <v>2</v>
      </c>
      <c r="K21" s="20" t="s">
        <v>18</v>
      </c>
      <c r="L21" s="19">
        <v>324369.24</v>
      </c>
      <c r="M21" s="21">
        <v>69484</v>
      </c>
      <c r="N21" s="23">
        <v>44771</v>
      </c>
      <c r="O21" s="17" t="s">
        <v>14</v>
      </c>
    </row>
    <row r="22" spans="1:15" s="61" customFormat="1" ht="25.5" customHeight="1" x14ac:dyDescent="0.2">
      <c r="A22" s="22">
        <v>20</v>
      </c>
      <c r="B22" s="22">
        <v>21</v>
      </c>
      <c r="C22" s="18" t="s">
        <v>90</v>
      </c>
      <c r="D22" s="19">
        <v>661.9</v>
      </c>
      <c r="E22" s="19">
        <v>560.04999999999995</v>
      </c>
      <c r="F22" s="20">
        <f>(D22-E22)/E22</f>
        <v>0.18185876261048126</v>
      </c>
      <c r="G22" s="21">
        <v>269</v>
      </c>
      <c r="H22" s="22">
        <v>21</v>
      </c>
      <c r="I22" s="22">
        <f t="shared" si="0"/>
        <v>12.80952380952381</v>
      </c>
      <c r="J22" s="22">
        <v>3</v>
      </c>
      <c r="K22" s="22">
        <v>12</v>
      </c>
      <c r="L22" s="19">
        <v>45279.839999999997</v>
      </c>
      <c r="M22" s="21">
        <v>9396</v>
      </c>
      <c r="N22" s="23">
        <v>45044</v>
      </c>
      <c r="O22" s="30" t="s">
        <v>16</v>
      </c>
    </row>
    <row r="23" spans="1:15" s="27" customFormat="1" ht="25.5" customHeight="1" x14ac:dyDescent="0.15">
      <c r="A23" s="22">
        <v>21</v>
      </c>
      <c r="B23" s="22">
        <v>20</v>
      </c>
      <c r="C23" s="18" t="s">
        <v>50</v>
      </c>
      <c r="D23" s="19">
        <v>528.38</v>
      </c>
      <c r="E23" s="19">
        <v>880.37</v>
      </c>
      <c r="F23" s="20">
        <f>(D23-E23)/E23</f>
        <v>-0.39982053000442996</v>
      </c>
      <c r="G23" s="21">
        <v>118</v>
      </c>
      <c r="H23" s="22">
        <v>20</v>
      </c>
      <c r="I23" s="22">
        <f t="shared" si="0"/>
        <v>5.9</v>
      </c>
      <c r="J23" s="22">
        <v>3</v>
      </c>
      <c r="K23" s="22">
        <v>13</v>
      </c>
      <c r="L23" s="19">
        <v>248631.79</v>
      </c>
      <c r="M23" s="21">
        <v>49575</v>
      </c>
      <c r="N23" s="23">
        <v>45037</v>
      </c>
      <c r="O23" s="30" t="s">
        <v>51</v>
      </c>
    </row>
    <row r="24" spans="1:15" s="27" customFormat="1" ht="25.5" customHeight="1" x14ac:dyDescent="0.15">
      <c r="A24" s="22">
        <v>22</v>
      </c>
      <c r="B24" s="22">
        <v>16</v>
      </c>
      <c r="C24" s="25" t="s">
        <v>132</v>
      </c>
      <c r="D24" s="19">
        <v>389.42</v>
      </c>
      <c r="E24" s="19">
        <v>1345.01</v>
      </c>
      <c r="F24" s="20">
        <f>(D24-E24)/E24</f>
        <v>-0.71047055412227411</v>
      </c>
      <c r="G24" s="21">
        <v>63</v>
      </c>
      <c r="H24" s="22">
        <v>7</v>
      </c>
      <c r="I24" s="22">
        <f t="shared" si="0"/>
        <v>9</v>
      </c>
      <c r="J24" s="22">
        <v>1</v>
      </c>
      <c r="K24" s="22">
        <v>9</v>
      </c>
      <c r="L24" s="19">
        <v>345634.42</v>
      </c>
      <c r="M24" s="21">
        <v>48283</v>
      </c>
      <c r="N24" s="23">
        <v>45065</v>
      </c>
      <c r="O24" s="30" t="s">
        <v>179</v>
      </c>
    </row>
    <row r="25" spans="1:15" s="27" customFormat="1" ht="25.5" customHeight="1" x14ac:dyDescent="0.15">
      <c r="A25" s="22">
        <v>23</v>
      </c>
      <c r="B25" s="22" t="s">
        <v>18</v>
      </c>
      <c r="C25" s="25" t="s">
        <v>155</v>
      </c>
      <c r="D25" s="19">
        <v>332.5</v>
      </c>
      <c r="E25" s="19" t="s">
        <v>18</v>
      </c>
      <c r="F25" s="20" t="s">
        <v>18</v>
      </c>
      <c r="G25" s="21">
        <v>153</v>
      </c>
      <c r="H25" s="22">
        <v>14</v>
      </c>
      <c r="I25" s="22">
        <f t="shared" si="0"/>
        <v>10.928571428571429</v>
      </c>
      <c r="J25" s="22">
        <v>2</v>
      </c>
      <c r="K25" s="20" t="s">
        <v>18</v>
      </c>
      <c r="L25" s="19">
        <v>186413.04</v>
      </c>
      <c r="M25" s="21">
        <v>37102</v>
      </c>
      <c r="N25" s="23">
        <v>44869</v>
      </c>
      <c r="O25" s="35" t="s">
        <v>12</v>
      </c>
    </row>
    <row r="26" spans="1:15" s="27" customFormat="1" ht="25.5" customHeight="1" x14ac:dyDescent="0.15">
      <c r="A26" s="22">
        <v>24</v>
      </c>
      <c r="B26" s="22">
        <v>24</v>
      </c>
      <c r="C26" s="25" t="s">
        <v>36</v>
      </c>
      <c r="D26" s="19">
        <v>295.79999999999995</v>
      </c>
      <c r="E26" s="19">
        <v>352.2</v>
      </c>
      <c r="F26" s="20">
        <f>(D26-E26)/E26</f>
        <v>-0.16013628620102224</v>
      </c>
      <c r="G26" s="21">
        <v>41</v>
      </c>
      <c r="H26" s="22">
        <v>4</v>
      </c>
      <c r="I26" s="22">
        <f t="shared" si="0"/>
        <v>10.25</v>
      </c>
      <c r="J26" s="22">
        <v>1</v>
      </c>
      <c r="K26" s="22">
        <v>20</v>
      </c>
      <c r="L26" s="19">
        <v>238725.93000000008</v>
      </c>
      <c r="M26" s="21">
        <v>37430</v>
      </c>
      <c r="N26" s="23">
        <v>44988</v>
      </c>
      <c r="O26" s="36" t="s">
        <v>39</v>
      </c>
    </row>
    <row r="27" spans="1:15" s="27" customFormat="1" ht="25.5" customHeight="1" x14ac:dyDescent="0.15">
      <c r="A27" s="22">
        <v>25</v>
      </c>
      <c r="B27" s="22">
        <v>29</v>
      </c>
      <c r="C27" s="25" t="s">
        <v>142</v>
      </c>
      <c r="D27" s="19">
        <v>255.4</v>
      </c>
      <c r="E27" s="19">
        <v>82.9</v>
      </c>
      <c r="F27" s="20">
        <f>(D27-E27)/E27</f>
        <v>2.0808202653799759</v>
      </c>
      <c r="G27" s="21">
        <v>35</v>
      </c>
      <c r="H27" s="22">
        <v>2</v>
      </c>
      <c r="I27" s="22">
        <f t="shared" si="0"/>
        <v>17.5</v>
      </c>
      <c r="J27" s="22">
        <v>1</v>
      </c>
      <c r="K27" s="22">
        <v>9</v>
      </c>
      <c r="L27" s="19">
        <v>8531.4</v>
      </c>
      <c r="M27" s="21">
        <v>1492</v>
      </c>
      <c r="N27" s="23">
        <v>45065</v>
      </c>
      <c r="O27" s="36" t="s">
        <v>40</v>
      </c>
    </row>
    <row r="28" spans="1:15" s="27" customFormat="1" ht="25.5" customHeight="1" x14ac:dyDescent="0.15">
      <c r="A28" s="22">
        <v>26</v>
      </c>
      <c r="B28" s="22" t="s">
        <v>18</v>
      </c>
      <c r="C28" s="13" t="s">
        <v>80</v>
      </c>
      <c r="D28" s="8">
        <v>236</v>
      </c>
      <c r="E28" s="19" t="s">
        <v>18</v>
      </c>
      <c r="F28" s="20" t="s">
        <v>18</v>
      </c>
      <c r="G28" s="10">
        <v>35</v>
      </c>
      <c r="H28" s="11">
        <v>1</v>
      </c>
      <c r="I28" s="22">
        <f t="shared" si="0"/>
        <v>35</v>
      </c>
      <c r="J28" s="11">
        <v>1</v>
      </c>
      <c r="K28" s="11" t="s">
        <v>18</v>
      </c>
      <c r="L28" s="19">
        <v>9992</v>
      </c>
      <c r="M28" s="21">
        <v>1807</v>
      </c>
      <c r="N28" s="12">
        <v>45012</v>
      </c>
      <c r="O28" s="6" t="s">
        <v>68</v>
      </c>
    </row>
    <row r="29" spans="1:15" s="27" customFormat="1" ht="25.5" customHeight="1" x14ac:dyDescent="0.15">
      <c r="A29" s="22">
        <v>27</v>
      </c>
      <c r="B29" s="22">
        <v>27</v>
      </c>
      <c r="C29" s="25" t="s">
        <v>196</v>
      </c>
      <c r="D29" s="19">
        <v>99.8</v>
      </c>
      <c r="E29" s="19">
        <v>222.8</v>
      </c>
      <c r="F29" s="20">
        <f>(D29-E29)/E29</f>
        <v>-0.55206463195691202</v>
      </c>
      <c r="G29" s="21">
        <v>15</v>
      </c>
      <c r="H29" s="22">
        <v>2</v>
      </c>
      <c r="I29" s="22">
        <f t="shared" si="0"/>
        <v>7.5</v>
      </c>
      <c r="J29" s="22">
        <v>1</v>
      </c>
      <c r="K29" s="22">
        <v>4</v>
      </c>
      <c r="L29" s="19">
        <v>962.2</v>
      </c>
      <c r="M29" s="21">
        <v>169</v>
      </c>
      <c r="N29" s="23">
        <v>45106</v>
      </c>
      <c r="O29" s="30" t="s">
        <v>30</v>
      </c>
    </row>
    <row r="30" spans="1:15" s="27" customFormat="1" ht="25.5" customHeight="1" x14ac:dyDescent="0.15">
      <c r="A30" s="22">
        <v>28</v>
      </c>
      <c r="B30" s="22" t="s">
        <v>18</v>
      </c>
      <c r="C30" s="13" t="s">
        <v>67</v>
      </c>
      <c r="D30" s="8">
        <v>96</v>
      </c>
      <c r="E30" s="19" t="s">
        <v>18</v>
      </c>
      <c r="F30" s="20" t="s">
        <v>18</v>
      </c>
      <c r="G30" s="10">
        <v>14</v>
      </c>
      <c r="H30" s="11">
        <v>1</v>
      </c>
      <c r="I30" s="22">
        <f t="shared" si="0"/>
        <v>14</v>
      </c>
      <c r="J30" s="11">
        <v>1</v>
      </c>
      <c r="K30" s="20" t="s">
        <v>18</v>
      </c>
      <c r="L30" s="19">
        <v>56683</v>
      </c>
      <c r="M30" s="21">
        <v>7540</v>
      </c>
      <c r="N30" s="12">
        <v>45012</v>
      </c>
      <c r="O30" s="6" t="s">
        <v>68</v>
      </c>
    </row>
    <row r="31" spans="1:15" s="27" customFormat="1" ht="25.5" customHeight="1" x14ac:dyDescent="0.15">
      <c r="A31" s="22">
        <v>29</v>
      </c>
      <c r="B31" s="22" t="s">
        <v>18</v>
      </c>
      <c r="C31" s="25" t="s">
        <v>79</v>
      </c>
      <c r="D31" s="19">
        <v>81.2</v>
      </c>
      <c r="E31" s="19" t="s">
        <v>18</v>
      </c>
      <c r="F31" s="20" t="s">
        <v>18</v>
      </c>
      <c r="G31" s="21">
        <v>12</v>
      </c>
      <c r="H31" s="22">
        <v>4</v>
      </c>
      <c r="I31" s="22">
        <f t="shared" si="0"/>
        <v>3</v>
      </c>
      <c r="J31" s="22">
        <v>1</v>
      </c>
      <c r="K31" s="20" t="s">
        <v>18</v>
      </c>
      <c r="L31" s="19">
        <v>45949</v>
      </c>
      <c r="M31" s="21">
        <v>5403</v>
      </c>
      <c r="N31" s="23">
        <v>45012</v>
      </c>
      <c r="O31" s="17" t="s">
        <v>68</v>
      </c>
    </row>
    <row r="32" spans="1:15" s="27" customFormat="1" ht="25.5" customHeight="1" x14ac:dyDescent="0.15">
      <c r="A32" s="22">
        <v>30</v>
      </c>
      <c r="B32" s="22">
        <v>25</v>
      </c>
      <c r="C32" s="25" t="s">
        <v>146</v>
      </c>
      <c r="D32" s="19">
        <v>64.8</v>
      </c>
      <c r="E32" s="19">
        <v>273.3</v>
      </c>
      <c r="F32" s="20">
        <f>(D32-E32)/E32</f>
        <v>-0.76289791437980237</v>
      </c>
      <c r="G32" s="21">
        <v>9</v>
      </c>
      <c r="H32" s="22">
        <v>1</v>
      </c>
      <c r="I32" s="22">
        <f t="shared" si="0"/>
        <v>9</v>
      </c>
      <c r="J32" s="22">
        <v>1</v>
      </c>
      <c r="K32" s="22">
        <v>7</v>
      </c>
      <c r="L32" s="19">
        <v>8374.32</v>
      </c>
      <c r="M32" s="21">
        <v>1296</v>
      </c>
      <c r="N32" s="23">
        <v>45079</v>
      </c>
      <c r="O32" s="30" t="s">
        <v>16</v>
      </c>
    </row>
    <row r="33" spans="1:15" s="27" customFormat="1" ht="25.5" customHeight="1" x14ac:dyDescent="0.15">
      <c r="A33" s="22">
        <v>31</v>
      </c>
      <c r="B33" s="22">
        <v>30</v>
      </c>
      <c r="C33" s="18" t="s">
        <v>106</v>
      </c>
      <c r="D33" s="19">
        <v>49.9</v>
      </c>
      <c r="E33" s="19">
        <v>48.2</v>
      </c>
      <c r="F33" s="20">
        <f>(D33-E33)/E33</f>
        <v>3.5269709543568374E-2</v>
      </c>
      <c r="G33" s="21">
        <v>7</v>
      </c>
      <c r="H33" s="22">
        <v>1</v>
      </c>
      <c r="I33" s="22">
        <f t="shared" si="0"/>
        <v>7</v>
      </c>
      <c r="J33" s="22">
        <v>1</v>
      </c>
      <c r="K33" s="20" t="s">
        <v>18</v>
      </c>
      <c r="L33" s="19">
        <v>41219.580000000009</v>
      </c>
      <c r="M33" s="21">
        <v>6979</v>
      </c>
      <c r="N33" s="23">
        <v>44678</v>
      </c>
      <c r="O33" s="30" t="s">
        <v>16</v>
      </c>
    </row>
    <row r="34" spans="1:15" s="27" customFormat="1" ht="25.5" customHeight="1" x14ac:dyDescent="0.15">
      <c r="A34" s="22">
        <v>32</v>
      </c>
      <c r="B34" s="22" t="s">
        <v>18</v>
      </c>
      <c r="C34" s="13" t="s">
        <v>102</v>
      </c>
      <c r="D34" s="8">
        <v>29.6</v>
      </c>
      <c r="E34" s="19" t="s">
        <v>18</v>
      </c>
      <c r="F34" s="20" t="s">
        <v>18</v>
      </c>
      <c r="G34" s="10">
        <v>4</v>
      </c>
      <c r="H34" s="11">
        <v>1</v>
      </c>
      <c r="I34" s="22">
        <f t="shared" si="0"/>
        <v>4</v>
      </c>
      <c r="J34" s="11">
        <v>1</v>
      </c>
      <c r="K34" s="11" t="s">
        <v>18</v>
      </c>
      <c r="L34" s="19">
        <v>3789</v>
      </c>
      <c r="M34" s="21">
        <v>663</v>
      </c>
      <c r="N34" s="12">
        <v>45051</v>
      </c>
      <c r="O34" s="6" t="s">
        <v>68</v>
      </c>
    </row>
    <row r="35" spans="1:15" s="27" customFormat="1" ht="25.5" customHeight="1" x14ac:dyDescent="0.15">
      <c r="A35" s="22">
        <v>33</v>
      </c>
      <c r="B35" s="22" t="s">
        <v>18</v>
      </c>
      <c r="C35" s="25" t="s">
        <v>136</v>
      </c>
      <c r="D35" s="19">
        <v>15</v>
      </c>
      <c r="E35" s="19" t="s">
        <v>18</v>
      </c>
      <c r="F35" s="20" t="s">
        <v>18</v>
      </c>
      <c r="G35" s="21">
        <v>4</v>
      </c>
      <c r="H35" s="22">
        <v>1</v>
      </c>
      <c r="I35" s="22">
        <f t="shared" si="0"/>
        <v>4</v>
      </c>
      <c r="J35" s="22">
        <v>1</v>
      </c>
      <c r="K35" s="11" t="s">
        <v>18</v>
      </c>
      <c r="L35" s="19">
        <v>1402</v>
      </c>
      <c r="M35" s="21">
        <v>334</v>
      </c>
      <c r="N35" s="23">
        <v>45065</v>
      </c>
      <c r="O35" s="30" t="s">
        <v>68</v>
      </c>
    </row>
    <row r="36" spans="1:15" s="27" customFormat="1" ht="25.5" customHeight="1" x14ac:dyDescent="0.15">
      <c r="A36" s="22">
        <v>34</v>
      </c>
      <c r="B36" s="22">
        <v>34</v>
      </c>
      <c r="C36" s="25" t="s">
        <v>147</v>
      </c>
      <c r="D36" s="19">
        <v>9</v>
      </c>
      <c r="E36" s="19">
        <v>11.85</v>
      </c>
      <c r="F36" s="20">
        <f>(D36-E36)/E36</f>
        <v>-0.24050632911392403</v>
      </c>
      <c r="G36" s="21">
        <v>3</v>
      </c>
      <c r="H36" s="22">
        <v>1</v>
      </c>
      <c r="I36" s="22">
        <f t="shared" si="0"/>
        <v>3</v>
      </c>
      <c r="J36" s="21">
        <v>1</v>
      </c>
      <c r="K36" s="22">
        <v>8</v>
      </c>
      <c r="L36" s="19">
        <v>7346.05</v>
      </c>
      <c r="M36" s="21">
        <v>1773</v>
      </c>
      <c r="N36" s="23">
        <v>45072</v>
      </c>
      <c r="O36" s="35" t="s">
        <v>30</v>
      </c>
    </row>
    <row r="37" spans="1:15" s="27" customFormat="1" ht="25.5" customHeight="1" x14ac:dyDescent="0.15">
      <c r="A37" s="22">
        <v>35</v>
      </c>
      <c r="B37" s="22" t="s">
        <v>18</v>
      </c>
      <c r="C37" s="13" t="s">
        <v>75</v>
      </c>
      <c r="D37" s="8">
        <v>6</v>
      </c>
      <c r="E37" s="19" t="s">
        <v>18</v>
      </c>
      <c r="F37" s="20" t="s">
        <v>18</v>
      </c>
      <c r="G37" s="10">
        <v>1</v>
      </c>
      <c r="H37" s="11">
        <v>1</v>
      </c>
      <c r="I37" s="22">
        <f t="shared" si="0"/>
        <v>1</v>
      </c>
      <c r="J37" s="11">
        <v>1</v>
      </c>
      <c r="K37" s="20" t="s">
        <v>18</v>
      </c>
      <c r="L37" s="19">
        <v>9469</v>
      </c>
      <c r="M37" s="21">
        <v>1647</v>
      </c>
      <c r="N37" s="12">
        <v>45012</v>
      </c>
      <c r="O37" s="6" t="s">
        <v>68</v>
      </c>
    </row>
    <row r="38" spans="1:15" s="61" customFormat="1" ht="25.5" customHeight="1" x14ac:dyDescent="0.2">
      <c r="A38" s="22">
        <v>36</v>
      </c>
      <c r="B38" s="22">
        <v>28</v>
      </c>
      <c r="C38" s="25" t="s">
        <v>208</v>
      </c>
      <c r="D38" s="19">
        <v>6</v>
      </c>
      <c r="E38" s="19">
        <v>147.9</v>
      </c>
      <c r="F38" s="20">
        <f>(D38-E38)/E38</f>
        <v>-0.95943204868154164</v>
      </c>
      <c r="G38" s="21">
        <v>2</v>
      </c>
      <c r="H38" s="22">
        <v>3</v>
      </c>
      <c r="I38" s="22">
        <f t="shared" si="0"/>
        <v>0.66666666666666663</v>
      </c>
      <c r="J38" s="22">
        <v>1</v>
      </c>
      <c r="K38" s="22">
        <v>2</v>
      </c>
      <c r="L38" s="19">
        <v>153.9</v>
      </c>
      <c r="M38" s="21">
        <v>26</v>
      </c>
      <c r="N38" s="23">
        <v>45114</v>
      </c>
      <c r="O38" s="17" t="s">
        <v>48</v>
      </c>
    </row>
    <row r="39" spans="1:15" s="45" customFormat="1" ht="25.5" customHeight="1" x14ac:dyDescent="0.2">
      <c r="A39" s="67"/>
      <c r="B39" s="67"/>
      <c r="C39" s="46" t="s">
        <v>215</v>
      </c>
      <c r="D39" s="47">
        <f>SUBTOTAL(109,Table132458791011121314[Pajamos 
(GBO)])</f>
        <v>332080.46000000002</v>
      </c>
      <c r="E39" s="47" t="s">
        <v>212</v>
      </c>
      <c r="F39" s="42">
        <f t="shared" ref="F39" si="2">(D39-E39)/E39</f>
        <v>0.27860457952957218</v>
      </c>
      <c r="G39" s="43">
        <f>SUBTOTAL(109,Table132458791011121314[Žiūrovų sk. 
(ADM)])</f>
        <v>56188</v>
      </c>
      <c r="H39" s="51"/>
      <c r="I39" s="46"/>
      <c r="J39" s="51"/>
      <c r="K39" s="46"/>
      <c r="L39" s="53"/>
      <c r="M39" s="55"/>
      <c r="N39" s="60"/>
      <c r="O39" s="46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A33C5-CC07-42BE-ACCE-C018A1D1397D}">
  <sheetPr>
    <pageSetUpPr fitToPage="1"/>
  </sheetPr>
  <dimension ref="A1:XFC38"/>
  <sheetViews>
    <sheetView topLeftCell="A4" zoomScale="60" zoomScaleNormal="60" workbookViewId="0">
      <selection activeCell="C21" sqref="C21:O21"/>
    </sheetView>
  </sheetViews>
  <sheetFormatPr defaultColWidth="0" defaultRowHeight="11.25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8" width="20.7109375" style="38" customWidth="1"/>
    <col min="9" max="9" width="20.7109375" style="1" customWidth="1"/>
    <col min="10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206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15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5" customHeight="1" x14ac:dyDescent="0.2">
      <c r="A3" s="22">
        <v>1</v>
      </c>
      <c r="B3" s="22" t="s">
        <v>31</v>
      </c>
      <c r="C3" s="25" t="s">
        <v>203</v>
      </c>
      <c r="D3" s="19">
        <v>77977.600000000006</v>
      </c>
      <c r="E3" s="19" t="s">
        <v>18</v>
      </c>
      <c r="F3" s="20" t="s">
        <v>18</v>
      </c>
      <c r="G3" s="21">
        <v>10998</v>
      </c>
      <c r="H3" s="22">
        <v>237</v>
      </c>
      <c r="I3" s="22">
        <f>G3/H3</f>
        <v>46.405063291139243</v>
      </c>
      <c r="J3" s="22">
        <v>13</v>
      </c>
      <c r="K3" s="22">
        <v>1</v>
      </c>
      <c r="L3" s="19">
        <v>92400.17</v>
      </c>
      <c r="M3" s="21">
        <v>12772</v>
      </c>
      <c r="N3" s="23">
        <v>45114</v>
      </c>
      <c r="O3" s="36" t="s">
        <v>12</v>
      </c>
    </row>
    <row r="4" spans="1:18" s="24" customFormat="1" ht="25.9" customHeight="1" x14ac:dyDescent="0.2">
      <c r="A4" s="22">
        <v>2</v>
      </c>
      <c r="B4" s="22">
        <v>1</v>
      </c>
      <c r="C4" s="25" t="s">
        <v>181</v>
      </c>
      <c r="D4" s="19">
        <v>39535.79</v>
      </c>
      <c r="E4" s="19">
        <v>69261.42</v>
      </c>
      <c r="F4" s="20">
        <f>(D4-E4)/E4</f>
        <v>-0.42918019873112617</v>
      </c>
      <c r="G4" s="21">
        <v>7545</v>
      </c>
      <c r="H4" s="22">
        <v>293</v>
      </c>
      <c r="I4" s="22">
        <f t="shared" ref="I4:I24" si="0">G4/H4</f>
        <v>25.750853242320819</v>
      </c>
      <c r="J4" s="22">
        <v>21</v>
      </c>
      <c r="K4" s="22">
        <v>4</v>
      </c>
      <c r="L4" s="19">
        <v>296588.59999999998</v>
      </c>
      <c r="M4" s="21">
        <v>58449</v>
      </c>
      <c r="N4" s="23">
        <v>45093</v>
      </c>
      <c r="O4" s="30" t="s">
        <v>40</v>
      </c>
    </row>
    <row r="5" spans="1:18" s="24" customFormat="1" ht="25.9" customHeight="1" x14ac:dyDescent="0.2">
      <c r="A5" s="22">
        <v>3</v>
      </c>
      <c r="B5" s="22">
        <v>2</v>
      </c>
      <c r="C5" s="25" t="s">
        <v>199</v>
      </c>
      <c r="D5" s="19">
        <v>24363.89</v>
      </c>
      <c r="E5" s="19">
        <v>62365.61</v>
      </c>
      <c r="F5" s="20">
        <f>(D5-E5)/E5</f>
        <v>-0.60933774238719063</v>
      </c>
      <c r="G5" s="21">
        <v>3665</v>
      </c>
      <c r="H5" s="22">
        <v>232</v>
      </c>
      <c r="I5" s="22">
        <f t="shared" si="0"/>
        <v>15.797413793103448</v>
      </c>
      <c r="J5" s="22">
        <v>14</v>
      </c>
      <c r="K5" s="22">
        <v>2</v>
      </c>
      <c r="L5" s="19">
        <v>89477.56</v>
      </c>
      <c r="M5" s="21">
        <v>13005</v>
      </c>
      <c r="N5" s="23">
        <v>45107</v>
      </c>
      <c r="O5" s="36" t="s">
        <v>40</v>
      </c>
      <c r="R5" s="17"/>
    </row>
    <row r="6" spans="1:18" s="24" customFormat="1" ht="25.9" customHeight="1" x14ac:dyDescent="0.2">
      <c r="A6" s="22">
        <v>4</v>
      </c>
      <c r="B6" s="22">
        <v>3</v>
      </c>
      <c r="C6" s="25" t="s">
        <v>200</v>
      </c>
      <c r="D6" s="19">
        <v>21583.360000000001</v>
      </c>
      <c r="E6" s="19">
        <v>40033.599999999999</v>
      </c>
      <c r="F6" s="20">
        <f>(D6-E6)/E6</f>
        <v>-0.46086887014907474</v>
      </c>
      <c r="G6" s="21">
        <v>4790</v>
      </c>
      <c r="H6" s="22">
        <v>257</v>
      </c>
      <c r="I6" s="22">
        <f t="shared" si="0"/>
        <v>18.638132295719846</v>
      </c>
      <c r="J6" s="22">
        <v>17</v>
      </c>
      <c r="K6" s="22">
        <v>2</v>
      </c>
      <c r="L6" s="19">
        <v>62595.74</v>
      </c>
      <c r="M6" s="21">
        <v>13383</v>
      </c>
      <c r="N6" s="23">
        <v>45107</v>
      </c>
      <c r="O6" s="30" t="s">
        <v>179</v>
      </c>
      <c r="R6" s="17"/>
    </row>
    <row r="7" spans="1:18" s="24" customFormat="1" ht="25.9" customHeight="1" x14ac:dyDescent="0.2">
      <c r="A7" s="22">
        <v>5</v>
      </c>
      <c r="B7" s="22">
        <v>5</v>
      </c>
      <c r="C7" s="25" t="s">
        <v>151</v>
      </c>
      <c r="D7" s="19">
        <v>16688.46</v>
      </c>
      <c r="E7" s="19">
        <v>27876.959999999999</v>
      </c>
      <c r="F7" s="20">
        <f>(D7-E7)/E7</f>
        <v>-0.40135294522788711</v>
      </c>
      <c r="G7" s="21">
        <v>2913</v>
      </c>
      <c r="H7" s="22">
        <v>117</v>
      </c>
      <c r="I7" s="22">
        <f t="shared" si="0"/>
        <v>24.897435897435898</v>
      </c>
      <c r="J7" s="22">
        <v>9</v>
      </c>
      <c r="K7" s="22">
        <v>6</v>
      </c>
      <c r="L7" s="19">
        <v>307425.53000000003</v>
      </c>
      <c r="M7" s="21">
        <v>51753</v>
      </c>
      <c r="N7" s="23">
        <v>45079</v>
      </c>
      <c r="O7" s="36" t="s">
        <v>12</v>
      </c>
      <c r="R7" s="17"/>
    </row>
    <row r="8" spans="1:18" s="24" customFormat="1" ht="25.5" customHeight="1" x14ac:dyDescent="0.2">
      <c r="A8" s="22">
        <v>6</v>
      </c>
      <c r="B8" s="22">
        <v>4</v>
      </c>
      <c r="C8" s="25" t="s">
        <v>188</v>
      </c>
      <c r="D8" s="19">
        <v>14434.46</v>
      </c>
      <c r="E8" s="19">
        <v>36230.11</v>
      </c>
      <c r="F8" s="20">
        <f>(D8-E8)/E8</f>
        <v>-0.60158939622319674</v>
      </c>
      <c r="G8" s="21">
        <v>2293</v>
      </c>
      <c r="H8" s="22">
        <v>125</v>
      </c>
      <c r="I8" s="22">
        <f t="shared" si="0"/>
        <v>18.344000000000001</v>
      </c>
      <c r="J8" s="22">
        <v>9</v>
      </c>
      <c r="K8" s="22">
        <v>3</v>
      </c>
      <c r="L8" s="19">
        <v>104845.82</v>
      </c>
      <c r="M8" s="21">
        <v>15126</v>
      </c>
      <c r="N8" s="23">
        <v>45100</v>
      </c>
      <c r="O8" s="35" t="s">
        <v>12</v>
      </c>
      <c r="R8" s="17"/>
    </row>
    <row r="9" spans="1:18" s="24" customFormat="1" ht="25.5" customHeight="1" x14ac:dyDescent="0.2">
      <c r="A9" s="22">
        <v>7</v>
      </c>
      <c r="B9" s="22" t="s">
        <v>57</v>
      </c>
      <c r="C9" s="13" t="s">
        <v>209</v>
      </c>
      <c r="D9" s="8">
        <v>12684.69</v>
      </c>
      <c r="E9" s="8" t="s">
        <v>18</v>
      </c>
      <c r="F9" s="9" t="s">
        <v>18</v>
      </c>
      <c r="G9" s="10">
        <v>1663</v>
      </c>
      <c r="H9" s="11">
        <v>39</v>
      </c>
      <c r="I9" s="22">
        <f t="shared" si="0"/>
        <v>42.641025641025642</v>
      </c>
      <c r="J9" s="11">
        <v>10</v>
      </c>
      <c r="K9" s="11">
        <v>0</v>
      </c>
      <c r="L9" s="19">
        <v>12684.69</v>
      </c>
      <c r="M9" s="21">
        <v>1663</v>
      </c>
      <c r="N9" s="12" t="s">
        <v>59</v>
      </c>
      <c r="O9" s="30" t="s">
        <v>180</v>
      </c>
      <c r="R9" s="17"/>
    </row>
    <row r="10" spans="1:18" s="24" customFormat="1" ht="25.9" customHeight="1" x14ac:dyDescent="0.2">
      <c r="A10" s="22">
        <v>8</v>
      </c>
      <c r="B10" s="22">
        <v>6</v>
      </c>
      <c r="C10" s="25" t="s">
        <v>173</v>
      </c>
      <c r="D10" s="19">
        <v>11701.95</v>
      </c>
      <c r="E10" s="19">
        <v>21844.2</v>
      </c>
      <c r="F10" s="20">
        <f>(D10-E10)/E10</f>
        <v>-0.46429944790836924</v>
      </c>
      <c r="G10" s="21">
        <v>1894</v>
      </c>
      <c r="H10" s="22">
        <v>84</v>
      </c>
      <c r="I10" s="22">
        <f t="shared" si="0"/>
        <v>22.547619047619047</v>
      </c>
      <c r="J10" s="22">
        <v>11</v>
      </c>
      <c r="K10" s="22">
        <v>5</v>
      </c>
      <c r="L10" s="19">
        <v>164729.69</v>
      </c>
      <c r="M10" s="21">
        <v>25357</v>
      </c>
      <c r="N10" s="23">
        <v>45086</v>
      </c>
      <c r="O10" s="30" t="s">
        <v>180</v>
      </c>
      <c r="R10" s="17"/>
    </row>
    <row r="11" spans="1:18" s="24" customFormat="1" ht="25.9" customHeight="1" x14ac:dyDescent="0.2">
      <c r="A11" s="22">
        <v>9</v>
      </c>
      <c r="B11" s="11" t="s">
        <v>57</v>
      </c>
      <c r="C11" s="13" t="s">
        <v>198</v>
      </c>
      <c r="D11" s="8">
        <v>11345.64</v>
      </c>
      <c r="E11" s="8" t="s">
        <v>18</v>
      </c>
      <c r="F11" s="9" t="s">
        <v>18</v>
      </c>
      <c r="G11" s="10">
        <v>2102</v>
      </c>
      <c r="H11" s="11">
        <v>22</v>
      </c>
      <c r="I11" s="22">
        <f t="shared" si="0"/>
        <v>95.545454545454547</v>
      </c>
      <c r="J11" s="11">
        <v>9</v>
      </c>
      <c r="K11" s="11">
        <v>0</v>
      </c>
      <c r="L11" s="19">
        <v>11920.64</v>
      </c>
      <c r="M11" s="21">
        <v>2217</v>
      </c>
      <c r="N11" s="12" t="s">
        <v>59</v>
      </c>
      <c r="O11" s="6" t="s">
        <v>13</v>
      </c>
      <c r="R11" s="17"/>
    </row>
    <row r="12" spans="1:18" s="24" customFormat="1" ht="25.9" customHeight="1" x14ac:dyDescent="0.2">
      <c r="A12" s="22">
        <v>10</v>
      </c>
      <c r="B12" s="22" t="s">
        <v>31</v>
      </c>
      <c r="C12" s="25" t="s">
        <v>204</v>
      </c>
      <c r="D12" s="19">
        <v>7256.08</v>
      </c>
      <c r="E12" s="19" t="s">
        <v>18</v>
      </c>
      <c r="F12" s="20" t="s">
        <v>18</v>
      </c>
      <c r="G12" s="21">
        <v>1205</v>
      </c>
      <c r="H12" s="22">
        <v>150</v>
      </c>
      <c r="I12" s="22">
        <f t="shared" si="0"/>
        <v>8.0333333333333332</v>
      </c>
      <c r="J12" s="22">
        <v>13</v>
      </c>
      <c r="K12" s="22">
        <v>1</v>
      </c>
      <c r="L12" s="19">
        <v>7901.83</v>
      </c>
      <c r="M12" s="21">
        <v>1304</v>
      </c>
      <c r="N12" s="23">
        <v>45114</v>
      </c>
      <c r="O12" s="30" t="s">
        <v>13</v>
      </c>
      <c r="R12" s="17"/>
    </row>
    <row r="13" spans="1:18" s="24" customFormat="1" ht="25.9" customHeight="1" x14ac:dyDescent="0.2">
      <c r="A13" s="22">
        <v>11</v>
      </c>
      <c r="B13" s="22">
        <v>10</v>
      </c>
      <c r="C13" s="25" t="s">
        <v>174</v>
      </c>
      <c r="D13" s="19">
        <v>3988.7</v>
      </c>
      <c r="E13" s="19">
        <v>6713.11</v>
      </c>
      <c r="F13" s="20">
        <f t="shared" ref="F13:F19" si="1">(D13-E13)/E13</f>
        <v>-0.40583425565795883</v>
      </c>
      <c r="G13" s="21">
        <v>623</v>
      </c>
      <c r="H13" s="22">
        <v>51</v>
      </c>
      <c r="I13" s="22">
        <f t="shared" si="0"/>
        <v>12.215686274509803</v>
      </c>
      <c r="J13" s="22">
        <v>6</v>
      </c>
      <c r="K13" s="22">
        <v>5</v>
      </c>
      <c r="L13" s="19">
        <v>52202.720000000001</v>
      </c>
      <c r="M13" s="21">
        <v>8426</v>
      </c>
      <c r="N13" s="23">
        <v>45086</v>
      </c>
      <c r="O13" s="30" t="s">
        <v>179</v>
      </c>
      <c r="R13" s="17"/>
    </row>
    <row r="14" spans="1:18" s="24" customFormat="1" ht="25.9" customHeight="1" x14ac:dyDescent="0.2">
      <c r="A14" s="22">
        <v>12</v>
      </c>
      <c r="B14" s="22">
        <v>12</v>
      </c>
      <c r="C14" s="18" t="s">
        <v>11</v>
      </c>
      <c r="D14" s="19">
        <v>3089.89</v>
      </c>
      <c r="E14" s="19">
        <v>6024.24</v>
      </c>
      <c r="F14" s="20">
        <f t="shared" si="1"/>
        <v>-0.48709048776277175</v>
      </c>
      <c r="G14" s="21">
        <v>669</v>
      </c>
      <c r="H14" s="22">
        <v>41</v>
      </c>
      <c r="I14" s="22">
        <f t="shared" si="0"/>
        <v>16.317073170731707</v>
      </c>
      <c r="J14" s="22">
        <v>6</v>
      </c>
      <c r="K14" s="22">
        <v>14</v>
      </c>
      <c r="L14" s="19">
        <v>585155.96</v>
      </c>
      <c r="M14" s="21">
        <v>107640</v>
      </c>
      <c r="N14" s="23">
        <v>45023</v>
      </c>
      <c r="O14" s="30" t="s">
        <v>179</v>
      </c>
      <c r="R14" s="17"/>
    </row>
    <row r="15" spans="1:18" s="24" customFormat="1" ht="25.9" customHeight="1" x14ac:dyDescent="0.2">
      <c r="A15" s="22">
        <v>13</v>
      </c>
      <c r="B15" s="22">
        <v>11</v>
      </c>
      <c r="C15" s="25" t="s">
        <v>97</v>
      </c>
      <c r="D15" s="19">
        <v>2753.4</v>
      </c>
      <c r="E15" s="19">
        <v>6134.81</v>
      </c>
      <c r="F15" s="20">
        <f t="shared" si="1"/>
        <v>-0.55118414425222628</v>
      </c>
      <c r="G15" s="21">
        <v>487</v>
      </c>
      <c r="H15" s="22">
        <v>19</v>
      </c>
      <c r="I15" s="22">
        <f t="shared" si="0"/>
        <v>25.631578947368421</v>
      </c>
      <c r="J15" s="22">
        <v>3</v>
      </c>
      <c r="K15" s="22">
        <v>10</v>
      </c>
      <c r="L15" s="19">
        <v>287681.53999999998</v>
      </c>
      <c r="M15" s="21">
        <v>40892</v>
      </c>
      <c r="N15" s="23">
        <v>45051</v>
      </c>
      <c r="O15" s="36" t="s">
        <v>40</v>
      </c>
      <c r="R15" s="17"/>
    </row>
    <row r="16" spans="1:18" s="24" customFormat="1" ht="25.9" customHeight="1" x14ac:dyDescent="0.2">
      <c r="A16" s="22">
        <v>14</v>
      </c>
      <c r="B16" s="22">
        <v>13</v>
      </c>
      <c r="C16" s="18" t="s">
        <v>143</v>
      </c>
      <c r="D16" s="19">
        <v>2512.4499999999998</v>
      </c>
      <c r="E16" s="19">
        <v>5966.38</v>
      </c>
      <c r="F16" s="20">
        <f t="shared" si="1"/>
        <v>-0.5788987627338521</v>
      </c>
      <c r="G16" s="21">
        <v>508</v>
      </c>
      <c r="H16" s="22">
        <v>27</v>
      </c>
      <c r="I16" s="22">
        <f t="shared" si="0"/>
        <v>18.814814814814813</v>
      </c>
      <c r="J16" s="22">
        <v>3</v>
      </c>
      <c r="K16" s="22">
        <v>7</v>
      </c>
      <c r="L16" s="19">
        <v>90969.07</v>
      </c>
      <c r="M16" s="21">
        <v>17334</v>
      </c>
      <c r="N16" s="23">
        <v>45072</v>
      </c>
      <c r="O16" s="30" t="s">
        <v>40</v>
      </c>
      <c r="R16" s="17"/>
    </row>
    <row r="17" spans="1:15" s="27" customFormat="1" ht="25.9" customHeight="1" x14ac:dyDescent="0.15">
      <c r="A17" s="22">
        <v>15</v>
      </c>
      <c r="B17" s="22">
        <v>8</v>
      </c>
      <c r="C17" s="25" t="s">
        <v>171</v>
      </c>
      <c r="D17" s="19">
        <v>1623.03</v>
      </c>
      <c r="E17" s="19">
        <v>8233.58</v>
      </c>
      <c r="F17" s="20">
        <f t="shared" si="1"/>
        <v>-0.8028767559190535</v>
      </c>
      <c r="G17" s="21">
        <v>285</v>
      </c>
      <c r="H17" s="22">
        <v>15</v>
      </c>
      <c r="I17" s="22">
        <f t="shared" si="0"/>
        <v>19</v>
      </c>
      <c r="J17" s="22">
        <v>3</v>
      </c>
      <c r="K17" s="22">
        <v>6</v>
      </c>
      <c r="L17" s="19">
        <v>74355.42</v>
      </c>
      <c r="M17" s="21">
        <v>11928</v>
      </c>
      <c r="N17" s="23">
        <v>45079</v>
      </c>
      <c r="O17" s="30" t="s">
        <v>40</v>
      </c>
    </row>
    <row r="18" spans="1:15" s="27" customFormat="1" ht="25.9" customHeight="1" x14ac:dyDescent="0.15">
      <c r="A18" s="22">
        <v>16</v>
      </c>
      <c r="B18" s="22">
        <v>14</v>
      </c>
      <c r="C18" s="25" t="s">
        <v>132</v>
      </c>
      <c r="D18" s="19">
        <v>1345.01</v>
      </c>
      <c r="E18" s="19">
        <v>4648.5600000000004</v>
      </c>
      <c r="F18" s="20">
        <f t="shared" si="1"/>
        <v>-0.71066093585970702</v>
      </c>
      <c r="G18" s="21">
        <v>246</v>
      </c>
      <c r="H18" s="22">
        <v>14</v>
      </c>
      <c r="I18" s="22">
        <f t="shared" si="0"/>
        <v>17.571428571428573</v>
      </c>
      <c r="J18" s="22">
        <v>2</v>
      </c>
      <c r="K18" s="22">
        <v>8</v>
      </c>
      <c r="L18" s="19">
        <v>345245</v>
      </c>
      <c r="M18" s="21">
        <v>48220</v>
      </c>
      <c r="N18" s="23">
        <v>45065</v>
      </c>
      <c r="O18" s="30" t="s">
        <v>179</v>
      </c>
    </row>
    <row r="19" spans="1:15" s="61" customFormat="1" ht="25.5" customHeight="1" x14ac:dyDescent="0.2">
      <c r="A19" s="22">
        <v>17</v>
      </c>
      <c r="B19" s="22">
        <v>9</v>
      </c>
      <c r="C19" s="25" t="s">
        <v>178</v>
      </c>
      <c r="D19" s="19">
        <v>1163.93</v>
      </c>
      <c r="E19" s="19">
        <v>7870.65</v>
      </c>
      <c r="F19" s="20">
        <f t="shared" si="1"/>
        <v>-0.8521176777013334</v>
      </c>
      <c r="G19" s="21">
        <v>217</v>
      </c>
      <c r="H19" s="22">
        <v>12</v>
      </c>
      <c r="I19" s="22">
        <f t="shared" si="0"/>
        <v>18.083333333333332</v>
      </c>
      <c r="J19" s="22">
        <v>2</v>
      </c>
      <c r="K19" s="22">
        <v>4</v>
      </c>
      <c r="L19" s="19">
        <v>62178.95</v>
      </c>
      <c r="M19" s="21">
        <v>9868</v>
      </c>
      <c r="N19" s="23">
        <v>45093</v>
      </c>
      <c r="O19" s="35" t="s">
        <v>14</v>
      </c>
    </row>
    <row r="20" spans="1:15" s="61" customFormat="1" ht="25.5" customHeight="1" x14ac:dyDescent="0.2">
      <c r="A20" s="22">
        <v>18</v>
      </c>
      <c r="B20" s="11" t="s">
        <v>18</v>
      </c>
      <c r="C20" s="25" t="s">
        <v>160</v>
      </c>
      <c r="D20" s="19">
        <v>980</v>
      </c>
      <c r="E20" s="19" t="s">
        <v>18</v>
      </c>
      <c r="F20" s="20" t="s">
        <v>18</v>
      </c>
      <c r="G20" s="21">
        <v>164</v>
      </c>
      <c r="H20" s="22">
        <v>8</v>
      </c>
      <c r="I20" s="22">
        <f t="shared" si="0"/>
        <v>20.5</v>
      </c>
      <c r="J20" s="22">
        <v>2</v>
      </c>
      <c r="K20" s="20" t="s">
        <v>18</v>
      </c>
      <c r="L20" s="19">
        <v>3437.66</v>
      </c>
      <c r="M20" s="21">
        <v>734</v>
      </c>
      <c r="N20" s="23">
        <v>45072</v>
      </c>
      <c r="O20" s="17" t="s">
        <v>117</v>
      </c>
    </row>
    <row r="21" spans="1:15" s="61" customFormat="1" ht="25.5" customHeight="1" x14ac:dyDescent="0.2">
      <c r="A21" s="22">
        <v>19</v>
      </c>
      <c r="B21" s="11" t="s">
        <v>18</v>
      </c>
      <c r="C21" s="13" t="s">
        <v>116</v>
      </c>
      <c r="D21" s="8">
        <v>974.20999999999958</v>
      </c>
      <c r="E21" s="8" t="s">
        <v>18</v>
      </c>
      <c r="F21" s="9" t="s">
        <v>18</v>
      </c>
      <c r="G21" s="10">
        <v>250</v>
      </c>
      <c r="H21" s="11">
        <v>3</v>
      </c>
      <c r="I21" s="22">
        <f t="shared" si="0"/>
        <v>83.333333333333329</v>
      </c>
      <c r="J21" s="11">
        <v>3</v>
      </c>
      <c r="K21" s="9" t="s">
        <v>18</v>
      </c>
      <c r="L21" s="8">
        <v>24396.420000000002</v>
      </c>
      <c r="M21" s="10">
        <v>5832</v>
      </c>
      <c r="N21" s="12">
        <v>45051</v>
      </c>
      <c r="O21" s="6" t="s">
        <v>117</v>
      </c>
    </row>
    <row r="22" spans="1:15" s="61" customFormat="1" ht="25.5" customHeight="1" x14ac:dyDescent="0.2">
      <c r="A22" s="22">
        <v>20</v>
      </c>
      <c r="B22" s="22">
        <v>16</v>
      </c>
      <c r="C22" s="18" t="s">
        <v>50</v>
      </c>
      <c r="D22" s="19">
        <v>880.37</v>
      </c>
      <c r="E22" s="19">
        <v>1190.1099999999999</v>
      </c>
      <c r="F22" s="20">
        <f>(D22-E22)/E22</f>
        <v>-0.2602616564855349</v>
      </c>
      <c r="G22" s="21">
        <v>182</v>
      </c>
      <c r="H22" s="22">
        <v>22</v>
      </c>
      <c r="I22" s="22">
        <f t="shared" si="0"/>
        <v>8.2727272727272734</v>
      </c>
      <c r="J22" s="22">
        <v>4</v>
      </c>
      <c r="K22" s="22">
        <v>12</v>
      </c>
      <c r="L22" s="19">
        <v>248103.41</v>
      </c>
      <c r="M22" s="21">
        <v>49457</v>
      </c>
      <c r="N22" s="23">
        <v>45037</v>
      </c>
      <c r="O22" s="30" t="s">
        <v>51</v>
      </c>
    </row>
    <row r="23" spans="1:15" s="27" customFormat="1" ht="25.5" customHeight="1" x14ac:dyDescent="0.15">
      <c r="A23" s="22">
        <v>21</v>
      </c>
      <c r="B23" s="22">
        <v>26</v>
      </c>
      <c r="C23" s="18" t="s">
        <v>90</v>
      </c>
      <c r="D23" s="19">
        <v>560.04999999999995</v>
      </c>
      <c r="E23" s="19">
        <v>286.89999999999998</v>
      </c>
      <c r="F23" s="20">
        <f>(D23-E23)/E23</f>
        <v>0.95207389334262804</v>
      </c>
      <c r="G23" s="21">
        <v>184</v>
      </c>
      <c r="H23" s="22">
        <v>25</v>
      </c>
      <c r="I23" s="22">
        <f t="shared" si="0"/>
        <v>7.36</v>
      </c>
      <c r="J23" s="22">
        <v>4</v>
      </c>
      <c r="K23" s="22">
        <v>11</v>
      </c>
      <c r="L23" s="19">
        <v>44617.939999999995</v>
      </c>
      <c r="M23" s="21">
        <v>9127</v>
      </c>
      <c r="N23" s="23">
        <v>45044</v>
      </c>
      <c r="O23" s="30" t="s">
        <v>16</v>
      </c>
    </row>
    <row r="24" spans="1:15" s="61" customFormat="1" ht="25.5" customHeight="1" x14ac:dyDescent="0.2">
      <c r="A24" s="22">
        <v>22</v>
      </c>
      <c r="B24" s="11" t="s">
        <v>18</v>
      </c>
      <c r="C24" s="25" t="s">
        <v>156</v>
      </c>
      <c r="D24" s="8">
        <v>435</v>
      </c>
      <c r="E24" s="8" t="s">
        <v>18</v>
      </c>
      <c r="F24" s="9" t="s">
        <v>18</v>
      </c>
      <c r="G24" s="10">
        <v>174</v>
      </c>
      <c r="H24" s="11">
        <v>14</v>
      </c>
      <c r="I24" s="22">
        <f t="shared" si="0"/>
        <v>12.428571428571429</v>
      </c>
      <c r="J24" s="11">
        <v>2</v>
      </c>
      <c r="K24" s="20" t="s">
        <v>18</v>
      </c>
      <c r="L24" s="19">
        <v>323705.74</v>
      </c>
      <c r="M24" s="21">
        <v>69201</v>
      </c>
      <c r="N24" s="12">
        <v>44771</v>
      </c>
      <c r="O24" s="6" t="s">
        <v>14</v>
      </c>
    </row>
    <row r="25" spans="1:15" s="61" customFormat="1" ht="25.5" customHeight="1" x14ac:dyDescent="0.2">
      <c r="A25" s="22">
        <v>23</v>
      </c>
      <c r="B25" s="11" t="s">
        <v>18</v>
      </c>
      <c r="C25" s="13" t="s">
        <v>187</v>
      </c>
      <c r="D25" s="8">
        <v>369</v>
      </c>
      <c r="E25" s="8" t="s">
        <v>18</v>
      </c>
      <c r="F25" s="9" t="s">
        <v>18</v>
      </c>
      <c r="G25" s="10">
        <v>161</v>
      </c>
      <c r="H25" s="22" t="s">
        <v>18</v>
      </c>
      <c r="I25" s="20" t="s">
        <v>18</v>
      </c>
      <c r="J25" s="11">
        <v>2</v>
      </c>
      <c r="K25" s="20" t="s">
        <v>18</v>
      </c>
      <c r="L25" s="19">
        <v>44964</v>
      </c>
      <c r="M25" s="21">
        <v>9982</v>
      </c>
      <c r="N25" s="12">
        <v>44694</v>
      </c>
      <c r="O25" s="6" t="s">
        <v>15</v>
      </c>
    </row>
    <row r="26" spans="1:15" s="61" customFormat="1" ht="25.5" customHeight="1" x14ac:dyDescent="0.2">
      <c r="A26" s="22">
        <v>24</v>
      </c>
      <c r="B26" s="22">
        <v>19</v>
      </c>
      <c r="C26" s="25" t="s">
        <v>36</v>
      </c>
      <c r="D26" s="19">
        <v>352.2</v>
      </c>
      <c r="E26" s="19">
        <v>729.8</v>
      </c>
      <c r="F26" s="20">
        <f>(D26-E26)/E26</f>
        <v>-0.51740202795286383</v>
      </c>
      <c r="G26" s="21">
        <v>49</v>
      </c>
      <c r="H26" s="22">
        <v>5</v>
      </c>
      <c r="I26" s="22">
        <f>G26/H26</f>
        <v>9.8000000000000007</v>
      </c>
      <c r="J26" s="22">
        <v>1</v>
      </c>
      <c r="K26" s="22">
        <v>19</v>
      </c>
      <c r="L26" s="19">
        <v>238430.13000000006</v>
      </c>
      <c r="M26" s="21">
        <v>37389</v>
      </c>
      <c r="N26" s="23">
        <v>44988</v>
      </c>
      <c r="O26" s="36" t="s">
        <v>39</v>
      </c>
    </row>
    <row r="27" spans="1:15" s="27" customFormat="1" ht="25.5" customHeight="1" x14ac:dyDescent="0.15">
      <c r="A27" s="22">
        <v>25</v>
      </c>
      <c r="B27" s="22">
        <v>27</v>
      </c>
      <c r="C27" s="25" t="s">
        <v>146</v>
      </c>
      <c r="D27" s="19">
        <v>273.3</v>
      </c>
      <c r="E27" s="19">
        <v>249.8</v>
      </c>
      <c r="F27" s="20">
        <f>(D27-E27)/E27</f>
        <v>9.4075260208166533E-2</v>
      </c>
      <c r="G27" s="21">
        <v>39</v>
      </c>
      <c r="H27" s="22">
        <v>5</v>
      </c>
      <c r="I27" s="22">
        <f t="shared" ref="I27:I37" si="2">G27/H27</f>
        <v>7.8</v>
      </c>
      <c r="J27" s="22">
        <v>2</v>
      </c>
      <c r="K27" s="22">
        <v>6</v>
      </c>
      <c r="L27" s="19">
        <v>8309.52</v>
      </c>
      <c r="M27" s="21">
        <v>1287</v>
      </c>
      <c r="N27" s="23">
        <v>45079</v>
      </c>
      <c r="O27" s="30" t="s">
        <v>16</v>
      </c>
    </row>
    <row r="28" spans="1:15" s="27" customFormat="1" ht="25.5" customHeight="1" x14ac:dyDescent="0.15">
      <c r="A28" s="22">
        <v>26</v>
      </c>
      <c r="B28" s="22">
        <v>23</v>
      </c>
      <c r="C28" s="25" t="s">
        <v>34</v>
      </c>
      <c r="D28" s="19">
        <v>238.54</v>
      </c>
      <c r="E28" s="19">
        <v>621</v>
      </c>
      <c r="F28" s="20">
        <f>(D28-E28)/E28</f>
        <v>-0.615877616747182</v>
      </c>
      <c r="G28" s="21">
        <v>56</v>
      </c>
      <c r="H28" s="22">
        <v>10</v>
      </c>
      <c r="I28" s="22">
        <f t="shared" si="2"/>
        <v>5.6</v>
      </c>
      <c r="J28" s="22">
        <v>3</v>
      </c>
      <c r="K28" s="20" t="s">
        <v>18</v>
      </c>
      <c r="L28" s="19">
        <v>73054.510000000009</v>
      </c>
      <c r="M28" s="21">
        <v>15362</v>
      </c>
      <c r="N28" s="23">
        <v>44981</v>
      </c>
      <c r="O28" s="35" t="s">
        <v>16</v>
      </c>
    </row>
    <row r="29" spans="1:15" s="27" customFormat="1" ht="25.5" customHeight="1" x14ac:dyDescent="0.15">
      <c r="A29" s="22">
        <v>27</v>
      </c>
      <c r="B29" s="22">
        <v>25</v>
      </c>
      <c r="C29" s="25" t="s">
        <v>196</v>
      </c>
      <c r="D29" s="19">
        <v>222.8</v>
      </c>
      <c r="E29" s="19">
        <v>388.1</v>
      </c>
      <c r="F29" s="20">
        <f>(D29-E29)/E29</f>
        <v>-0.4259211543416645</v>
      </c>
      <c r="G29" s="21">
        <v>47</v>
      </c>
      <c r="H29" s="22">
        <v>8</v>
      </c>
      <c r="I29" s="22">
        <f t="shared" si="2"/>
        <v>5.875</v>
      </c>
      <c r="J29" s="22">
        <v>3</v>
      </c>
      <c r="K29" s="22">
        <v>3</v>
      </c>
      <c r="L29" s="19">
        <v>862.4</v>
      </c>
      <c r="M29" s="21">
        <v>154</v>
      </c>
      <c r="N29" s="23">
        <v>45106</v>
      </c>
      <c r="O29" s="30" t="s">
        <v>30</v>
      </c>
    </row>
    <row r="30" spans="1:15" s="27" customFormat="1" ht="25.5" customHeight="1" x14ac:dyDescent="0.15">
      <c r="A30" s="22">
        <v>28</v>
      </c>
      <c r="B30" s="22" t="s">
        <v>31</v>
      </c>
      <c r="C30" s="25" t="s">
        <v>208</v>
      </c>
      <c r="D30" s="8">
        <v>147.9</v>
      </c>
      <c r="E30" s="8" t="s">
        <v>18</v>
      </c>
      <c r="F30" s="9" t="s">
        <v>18</v>
      </c>
      <c r="G30" s="10">
        <v>24</v>
      </c>
      <c r="H30" s="11">
        <v>25</v>
      </c>
      <c r="I30" s="22">
        <f t="shared" si="2"/>
        <v>0.96</v>
      </c>
      <c r="J30" s="11">
        <v>4</v>
      </c>
      <c r="K30" s="11">
        <v>1</v>
      </c>
      <c r="L30" s="8">
        <v>147.9</v>
      </c>
      <c r="M30" s="10">
        <v>24</v>
      </c>
      <c r="N30" s="12">
        <v>45114</v>
      </c>
      <c r="O30" s="6" t="s">
        <v>48</v>
      </c>
    </row>
    <row r="31" spans="1:15" ht="25.5" customHeight="1" x14ac:dyDescent="0.15">
      <c r="A31" s="22">
        <v>29</v>
      </c>
      <c r="B31" s="22">
        <v>21</v>
      </c>
      <c r="C31" s="25" t="s">
        <v>142</v>
      </c>
      <c r="D31" s="19">
        <v>82.9</v>
      </c>
      <c r="E31" s="19">
        <v>646.5</v>
      </c>
      <c r="F31" s="20">
        <f t="shared" ref="F31:F38" si="3">(D31-E31)/E31</f>
        <v>-0.87177107501933493</v>
      </c>
      <c r="G31" s="21">
        <v>17</v>
      </c>
      <c r="H31" s="22">
        <v>2</v>
      </c>
      <c r="I31" s="22">
        <f t="shared" si="2"/>
        <v>8.5</v>
      </c>
      <c r="J31" s="22">
        <v>1</v>
      </c>
      <c r="K31" s="22">
        <v>8</v>
      </c>
      <c r="L31" s="19">
        <v>8276</v>
      </c>
      <c r="M31" s="21">
        <v>1457</v>
      </c>
      <c r="N31" s="23">
        <v>45065</v>
      </c>
      <c r="O31" s="36" t="s">
        <v>40</v>
      </c>
    </row>
    <row r="32" spans="1:15" s="27" customFormat="1" ht="25.5" customHeight="1" x14ac:dyDescent="0.15">
      <c r="A32" s="22">
        <v>30</v>
      </c>
      <c r="B32" s="22">
        <v>30</v>
      </c>
      <c r="C32" s="18" t="s">
        <v>106</v>
      </c>
      <c r="D32" s="19">
        <v>48.2</v>
      </c>
      <c r="E32" s="19">
        <v>147.1</v>
      </c>
      <c r="F32" s="20">
        <f t="shared" si="3"/>
        <v>-0.6723317471108089</v>
      </c>
      <c r="G32" s="21">
        <v>7</v>
      </c>
      <c r="H32" s="22">
        <v>1</v>
      </c>
      <c r="I32" s="22">
        <f t="shared" si="2"/>
        <v>7</v>
      </c>
      <c r="J32" s="22">
        <v>1</v>
      </c>
      <c r="K32" s="20" t="s">
        <v>18</v>
      </c>
      <c r="L32" s="19">
        <v>41169.680000000008</v>
      </c>
      <c r="M32" s="21">
        <v>6972</v>
      </c>
      <c r="N32" s="23">
        <v>44678</v>
      </c>
      <c r="O32" s="30" t="s">
        <v>16</v>
      </c>
    </row>
    <row r="33" spans="1:15" s="27" customFormat="1" ht="25.5" customHeight="1" x14ac:dyDescent="0.15">
      <c r="A33" s="22">
        <v>31</v>
      </c>
      <c r="B33" s="22">
        <v>17</v>
      </c>
      <c r="C33" s="25" t="s">
        <v>168</v>
      </c>
      <c r="D33" s="19">
        <v>38.5</v>
      </c>
      <c r="E33" s="19">
        <v>1006.55</v>
      </c>
      <c r="F33" s="20">
        <f t="shared" si="3"/>
        <v>-0.96175053400228505</v>
      </c>
      <c r="G33" s="21">
        <v>12</v>
      </c>
      <c r="H33" s="22">
        <v>2</v>
      </c>
      <c r="I33" s="22">
        <f t="shared" si="2"/>
        <v>6</v>
      </c>
      <c r="J33" s="22">
        <v>1</v>
      </c>
      <c r="K33" s="20" t="s">
        <v>18</v>
      </c>
      <c r="L33" s="19">
        <v>169923.08</v>
      </c>
      <c r="M33" s="21">
        <v>35152</v>
      </c>
      <c r="N33" s="23">
        <v>44925</v>
      </c>
      <c r="O33" s="35" t="s">
        <v>16</v>
      </c>
    </row>
    <row r="34" spans="1:15" s="27" customFormat="1" ht="25.5" customHeight="1" x14ac:dyDescent="0.15">
      <c r="A34" s="22">
        <v>32</v>
      </c>
      <c r="B34" s="22">
        <v>38</v>
      </c>
      <c r="C34" s="25" t="s">
        <v>189</v>
      </c>
      <c r="D34" s="19">
        <v>32</v>
      </c>
      <c r="E34" s="19">
        <v>24.5</v>
      </c>
      <c r="F34" s="20">
        <f t="shared" si="3"/>
        <v>0.30612244897959184</v>
      </c>
      <c r="G34" s="21">
        <v>9</v>
      </c>
      <c r="H34" s="22">
        <v>4</v>
      </c>
      <c r="I34" s="22">
        <f t="shared" si="2"/>
        <v>2.25</v>
      </c>
      <c r="J34" s="21">
        <v>1</v>
      </c>
      <c r="K34" s="22">
        <v>4</v>
      </c>
      <c r="L34" s="19">
        <v>9358.58</v>
      </c>
      <c r="M34" s="21">
        <v>1718</v>
      </c>
      <c r="N34" s="23">
        <v>45093</v>
      </c>
      <c r="O34" s="30" t="s">
        <v>13</v>
      </c>
    </row>
    <row r="35" spans="1:15" s="27" customFormat="1" ht="25.5" customHeight="1" x14ac:dyDescent="0.15">
      <c r="A35" s="22">
        <v>33</v>
      </c>
      <c r="B35" s="22">
        <v>37</v>
      </c>
      <c r="C35" s="25" t="s">
        <v>149</v>
      </c>
      <c r="D35" s="19">
        <v>17.5</v>
      </c>
      <c r="E35" s="19">
        <v>42</v>
      </c>
      <c r="F35" s="20">
        <f t="shared" si="3"/>
        <v>-0.58333333333333337</v>
      </c>
      <c r="G35" s="21">
        <v>6</v>
      </c>
      <c r="H35" s="22">
        <v>2</v>
      </c>
      <c r="I35" s="22">
        <f t="shared" si="2"/>
        <v>3</v>
      </c>
      <c r="J35" s="22">
        <v>1</v>
      </c>
      <c r="K35" s="20" t="s">
        <v>18</v>
      </c>
      <c r="L35" s="19">
        <v>22031.09</v>
      </c>
      <c r="M35" s="21">
        <v>3523</v>
      </c>
      <c r="N35" s="23">
        <v>44939</v>
      </c>
      <c r="O35" s="30" t="s">
        <v>30</v>
      </c>
    </row>
    <row r="36" spans="1:15" s="27" customFormat="1" ht="25.5" customHeight="1" x14ac:dyDescent="0.15">
      <c r="A36" s="22">
        <v>34</v>
      </c>
      <c r="B36" s="22">
        <v>31</v>
      </c>
      <c r="C36" s="25" t="s">
        <v>147</v>
      </c>
      <c r="D36" s="19">
        <v>11.85</v>
      </c>
      <c r="E36" s="19">
        <v>115.8</v>
      </c>
      <c r="F36" s="20">
        <f t="shared" si="3"/>
        <v>-0.8976683937823835</v>
      </c>
      <c r="G36" s="21">
        <v>3</v>
      </c>
      <c r="H36" s="22">
        <v>1</v>
      </c>
      <c r="I36" s="22">
        <f t="shared" si="2"/>
        <v>3</v>
      </c>
      <c r="J36" s="21">
        <v>1</v>
      </c>
      <c r="K36" s="22">
        <v>7</v>
      </c>
      <c r="L36" s="19">
        <v>7337.05</v>
      </c>
      <c r="M36" s="21">
        <v>1770</v>
      </c>
      <c r="N36" s="23">
        <v>45072</v>
      </c>
      <c r="O36" s="35" t="s">
        <v>30</v>
      </c>
    </row>
    <row r="37" spans="1:15" s="27" customFormat="1" ht="25.5" customHeight="1" x14ac:dyDescent="0.15">
      <c r="A37" s="22">
        <v>35</v>
      </c>
      <c r="B37" s="22">
        <v>36</v>
      </c>
      <c r="C37" s="25" t="s">
        <v>197</v>
      </c>
      <c r="D37" s="19">
        <v>8</v>
      </c>
      <c r="E37" s="19">
        <v>54.5</v>
      </c>
      <c r="F37" s="20">
        <f t="shared" si="3"/>
        <v>-0.85321100917431192</v>
      </c>
      <c r="G37" s="21">
        <v>2</v>
      </c>
      <c r="H37" s="22">
        <v>1</v>
      </c>
      <c r="I37" s="22">
        <f t="shared" si="2"/>
        <v>2</v>
      </c>
      <c r="J37" s="22">
        <v>1</v>
      </c>
      <c r="K37" s="20" t="s">
        <v>18</v>
      </c>
      <c r="L37" s="19">
        <v>44780.789999999986</v>
      </c>
      <c r="M37" s="21">
        <v>7317</v>
      </c>
      <c r="N37" s="23">
        <v>44932</v>
      </c>
      <c r="O37" s="35" t="s">
        <v>16</v>
      </c>
    </row>
    <row r="38" spans="1:15" s="45" customFormat="1" ht="25.5" customHeight="1" x14ac:dyDescent="0.2">
      <c r="A38" s="67"/>
      <c r="B38" s="67"/>
      <c r="C38" s="46" t="s">
        <v>210</v>
      </c>
      <c r="D38" s="47">
        <f>SUBTOTAL(109,Table1324587910111213[Pajamos 
(GBO)])</f>
        <v>259720.65000000002</v>
      </c>
      <c r="E38" s="47" t="s">
        <v>207</v>
      </c>
      <c r="F38" s="42">
        <f t="shared" si="3"/>
        <v>-0.21023466055257886</v>
      </c>
      <c r="G38" s="43">
        <f>SUBTOTAL(109,Table1324587910111213[Žiūrovų sk. 
(ADM)])</f>
        <v>43489</v>
      </c>
      <c r="H38" s="51"/>
      <c r="I38" s="46"/>
      <c r="J38" s="51"/>
      <c r="K38" s="46"/>
      <c r="L38" s="53"/>
      <c r="M38" s="55"/>
      <c r="N38" s="60"/>
      <c r="O38" s="46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60B06-C77A-42AA-8F90-875655BB7FA9}">
  <sheetPr>
    <pageSetUpPr fitToPage="1"/>
  </sheetPr>
  <dimension ref="A1:XFC43"/>
  <sheetViews>
    <sheetView topLeftCell="A10" zoomScale="60" zoomScaleNormal="60" workbookViewId="0">
      <selection activeCell="C37" sqref="C37:O37"/>
    </sheetView>
  </sheetViews>
  <sheetFormatPr defaultColWidth="0" defaultRowHeight="11.25" zeroHeight="1" x14ac:dyDescent="0.15"/>
  <cols>
    <col min="1" max="1" width="4.7109375" style="66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8" width="20.7109375" style="56" customWidth="1"/>
    <col min="9" max="9" width="20.7109375" style="1" customWidth="1"/>
    <col min="10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202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4" t="s">
        <v>4</v>
      </c>
      <c r="I2" s="15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5" customHeight="1" x14ac:dyDescent="0.2">
      <c r="A3" s="17">
        <v>1</v>
      </c>
      <c r="B3" s="17">
        <v>1</v>
      </c>
      <c r="C3" s="25" t="s">
        <v>181</v>
      </c>
      <c r="D3" s="19">
        <v>69261.42</v>
      </c>
      <c r="E3" s="19">
        <v>65429.52</v>
      </c>
      <c r="F3" s="20">
        <f>(D3-E3)/E3</f>
        <v>5.8565308136144079E-2</v>
      </c>
      <c r="G3" s="21">
        <v>12929</v>
      </c>
      <c r="H3" s="21">
        <v>325</v>
      </c>
      <c r="I3" s="22">
        <f t="shared" ref="I3:I42" si="0">G3/H3</f>
        <v>39.78153846153846</v>
      </c>
      <c r="J3" s="22">
        <v>22</v>
      </c>
      <c r="K3" s="22">
        <v>3</v>
      </c>
      <c r="L3" s="19">
        <v>257052.81</v>
      </c>
      <c r="M3" s="21">
        <v>50904</v>
      </c>
      <c r="N3" s="23">
        <v>45093</v>
      </c>
      <c r="O3" s="30" t="s">
        <v>40</v>
      </c>
    </row>
    <row r="4" spans="1:18" s="24" customFormat="1" ht="25.9" customHeight="1" x14ac:dyDescent="0.2">
      <c r="A4" s="17">
        <v>2</v>
      </c>
      <c r="B4" s="17" t="s">
        <v>31</v>
      </c>
      <c r="C4" s="25" t="s">
        <v>199</v>
      </c>
      <c r="D4" s="19">
        <v>62365.61</v>
      </c>
      <c r="E4" s="19" t="s">
        <v>18</v>
      </c>
      <c r="F4" s="20" t="s">
        <v>18</v>
      </c>
      <c r="G4" s="21">
        <v>8960</v>
      </c>
      <c r="H4" s="21">
        <v>298</v>
      </c>
      <c r="I4" s="22">
        <f t="shared" si="0"/>
        <v>30.067114093959731</v>
      </c>
      <c r="J4" s="22">
        <v>16</v>
      </c>
      <c r="K4" s="22">
        <v>1</v>
      </c>
      <c r="L4" s="19">
        <v>2748.06</v>
      </c>
      <c r="M4" s="21">
        <v>380</v>
      </c>
      <c r="N4" s="23">
        <v>45107</v>
      </c>
      <c r="O4" s="36" t="s">
        <v>40</v>
      </c>
    </row>
    <row r="5" spans="1:18" s="24" customFormat="1" ht="25.9" customHeight="1" x14ac:dyDescent="0.2">
      <c r="A5" s="17">
        <v>3</v>
      </c>
      <c r="B5" s="17" t="s">
        <v>31</v>
      </c>
      <c r="C5" s="25" t="s">
        <v>200</v>
      </c>
      <c r="D5" s="19">
        <v>40033.599999999999</v>
      </c>
      <c r="E5" s="19" t="s">
        <v>18</v>
      </c>
      <c r="F5" s="20" t="s">
        <v>18</v>
      </c>
      <c r="G5" s="21">
        <v>8398</v>
      </c>
      <c r="H5" s="21">
        <v>299</v>
      </c>
      <c r="I5" s="22">
        <f t="shared" si="0"/>
        <v>28.086956521739129</v>
      </c>
      <c r="J5" s="22">
        <v>19</v>
      </c>
      <c r="K5" s="22">
        <v>1</v>
      </c>
      <c r="L5" s="19">
        <v>41012.379999999997</v>
      </c>
      <c r="M5" s="21">
        <v>8593</v>
      </c>
      <c r="N5" s="23">
        <v>45107</v>
      </c>
      <c r="O5" s="30" t="s">
        <v>179</v>
      </c>
      <c r="R5" s="17"/>
    </row>
    <row r="6" spans="1:18" s="24" customFormat="1" ht="25.9" customHeight="1" x14ac:dyDescent="0.2">
      <c r="A6" s="17">
        <v>4</v>
      </c>
      <c r="B6" s="17">
        <v>2</v>
      </c>
      <c r="C6" s="25" t="s">
        <v>188</v>
      </c>
      <c r="D6" s="19">
        <v>36230.11</v>
      </c>
      <c r="E6" s="19">
        <v>44357.8</v>
      </c>
      <c r="F6" s="20">
        <f>(D6-E6)/E6</f>
        <v>-0.18323023233794286</v>
      </c>
      <c r="G6" s="21">
        <v>5589</v>
      </c>
      <c r="H6" s="21">
        <v>174</v>
      </c>
      <c r="I6" s="22">
        <f t="shared" si="0"/>
        <v>32.120689655172413</v>
      </c>
      <c r="J6" s="22">
        <v>12</v>
      </c>
      <c r="K6" s="22">
        <v>2</v>
      </c>
      <c r="L6" s="19">
        <v>90411.36</v>
      </c>
      <c r="M6" s="21">
        <v>12833</v>
      </c>
      <c r="N6" s="23">
        <v>45100</v>
      </c>
      <c r="O6" s="35" t="s">
        <v>12</v>
      </c>
      <c r="R6" s="17"/>
    </row>
    <row r="7" spans="1:18" s="24" customFormat="1" ht="25.9" customHeight="1" x14ac:dyDescent="0.2">
      <c r="A7" s="17">
        <v>5</v>
      </c>
      <c r="B7" s="17">
        <v>3</v>
      </c>
      <c r="C7" s="25" t="s">
        <v>151</v>
      </c>
      <c r="D7" s="19">
        <v>27876.959999999999</v>
      </c>
      <c r="E7" s="19">
        <v>32769.1</v>
      </c>
      <c r="F7" s="20">
        <f>(D7-E7)/E7</f>
        <v>-0.14929125304021165</v>
      </c>
      <c r="G7" s="21">
        <v>4762</v>
      </c>
      <c r="H7" s="21">
        <v>149</v>
      </c>
      <c r="I7" s="22">
        <f t="shared" si="0"/>
        <v>31.959731543624162</v>
      </c>
      <c r="J7" s="22">
        <v>13</v>
      </c>
      <c r="K7" s="22">
        <v>5</v>
      </c>
      <c r="L7" s="19">
        <v>290947.07</v>
      </c>
      <c r="M7" s="21">
        <v>48892</v>
      </c>
      <c r="N7" s="23">
        <v>45079</v>
      </c>
      <c r="O7" s="36" t="s">
        <v>12</v>
      </c>
      <c r="R7" s="17"/>
    </row>
    <row r="8" spans="1:18" s="24" customFormat="1" ht="25.9" customHeight="1" x14ac:dyDescent="0.2">
      <c r="A8" s="17">
        <v>6</v>
      </c>
      <c r="B8" s="17">
        <v>4</v>
      </c>
      <c r="C8" s="25" t="s">
        <v>173</v>
      </c>
      <c r="D8" s="19">
        <v>21844.2</v>
      </c>
      <c r="E8" s="19">
        <v>22700.61</v>
      </c>
      <c r="F8" s="20">
        <f>(D8-E8)/E8</f>
        <v>-3.7726298984917139E-2</v>
      </c>
      <c r="G8" s="21">
        <v>3411</v>
      </c>
      <c r="H8" s="21">
        <v>127</v>
      </c>
      <c r="I8" s="22">
        <f t="shared" si="0"/>
        <v>26.858267716535433</v>
      </c>
      <c r="J8" s="22">
        <v>14</v>
      </c>
      <c r="K8" s="22">
        <v>4</v>
      </c>
      <c r="L8" s="19">
        <v>153027.74</v>
      </c>
      <c r="M8" s="21">
        <v>23463</v>
      </c>
      <c r="N8" s="23">
        <v>45086</v>
      </c>
      <c r="O8" s="30" t="s">
        <v>180</v>
      </c>
      <c r="R8" s="17"/>
    </row>
    <row r="9" spans="1:18" s="24" customFormat="1" ht="25.5" customHeight="1" x14ac:dyDescent="0.2">
      <c r="A9" s="17">
        <v>7</v>
      </c>
      <c r="B9" s="22" t="s">
        <v>57</v>
      </c>
      <c r="C9" s="13" t="s">
        <v>203</v>
      </c>
      <c r="D9" s="8">
        <v>14422.57</v>
      </c>
      <c r="E9" s="19" t="s">
        <v>18</v>
      </c>
      <c r="F9" s="20" t="s">
        <v>18</v>
      </c>
      <c r="G9" s="10">
        <v>1774</v>
      </c>
      <c r="H9" s="10">
        <v>10</v>
      </c>
      <c r="I9" s="11">
        <f t="shared" si="0"/>
        <v>177.4</v>
      </c>
      <c r="J9" s="11">
        <v>9</v>
      </c>
      <c r="K9" s="11">
        <v>0</v>
      </c>
      <c r="L9" s="19">
        <v>14422.57</v>
      </c>
      <c r="M9" s="21">
        <v>1774</v>
      </c>
      <c r="N9" s="12" t="s">
        <v>59</v>
      </c>
      <c r="O9" s="36" t="s">
        <v>12</v>
      </c>
      <c r="R9" s="17"/>
    </row>
    <row r="10" spans="1:18" s="24" customFormat="1" ht="25.9" customHeight="1" x14ac:dyDescent="0.2">
      <c r="A10" s="17">
        <v>8</v>
      </c>
      <c r="B10" s="17">
        <v>5</v>
      </c>
      <c r="C10" s="25" t="s">
        <v>171</v>
      </c>
      <c r="D10" s="19">
        <v>8233.58</v>
      </c>
      <c r="E10" s="19">
        <v>12178.39</v>
      </c>
      <c r="F10" s="20">
        <f t="shared" ref="F10:F16" si="1">(D10-E10)/E10</f>
        <v>-0.32391884313115277</v>
      </c>
      <c r="G10" s="21">
        <v>1302</v>
      </c>
      <c r="H10" s="21">
        <v>30</v>
      </c>
      <c r="I10" s="22">
        <f t="shared" si="0"/>
        <v>43.4</v>
      </c>
      <c r="J10" s="22">
        <v>4</v>
      </c>
      <c r="K10" s="22">
        <v>5</v>
      </c>
      <c r="L10" s="19">
        <v>72732.39</v>
      </c>
      <c r="M10" s="21">
        <v>11643</v>
      </c>
      <c r="N10" s="23">
        <v>45079</v>
      </c>
      <c r="O10" s="30" t="s">
        <v>40</v>
      </c>
      <c r="R10" s="17"/>
    </row>
    <row r="11" spans="1:18" s="24" customFormat="1" ht="25.9" customHeight="1" x14ac:dyDescent="0.2">
      <c r="A11" s="17">
        <v>9</v>
      </c>
      <c r="B11" s="17">
        <v>6</v>
      </c>
      <c r="C11" s="25" t="s">
        <v>178</v>
      </c>
      <c r="D11" s="19">
        <v>7870.65</v>
      </c>
      <c r="E11" s="19">
        <v>11612.19</v>
      </c>
      <c r="F11" s="20">
        <f t="shared" si="1"/>
        <v>-0.32220795560527349</v>
      </c>
      <c r="G11" s="21">
        <v>1266</v>
      </c>
      <c r="H11" s="21">
        <v>95</v>
      </c>
      <c r="I11" s="22">
        <f t="shared" si="0"/>
        <v>13.326315789473684</v>
      </c>
      <c r="J11" s="22">
        <v>9</v>
      </c>
      <c r="K11" s="22">
        <v>3</v>
      </c>
      <c r="L11" s="19">
        <v>61015.02</v>
      </c>
      <c r="M11" s="21">
        <v>9651</v>
      </c>
      <c r="N11" s="23">
        <v>45093</v>
      </c>
      <c r="O11" s="35" t="s">
        <v>14</v>
      </c>
      <c r="R11" s="17"/>
    </row>
    <row r="12" spans="1:18" s="24" customFormat="1" ht="25.9" customHeight="1" x14ac:dyDescent="0.2">
      <c r="A12" s="17">
        <v>10</v>
      </c>
      <c r="B12" s="17">
        <v>8</v>
      </c>
      <c r="C12" s="25" t="s">
        <v>174</v>
      </c>
      <c r="D12" s="19">
        <v>6713.11</v>
      </c>
      <c r="E12" s="19">
        <v>7066.91</v>
      </c>
      <c r="F12" s="20">
        <f t="shared" si="1"/>
        <v>-5.0064313823156119E-2</v>
      </c>
      <c r="G12" s="21">
        <v>1031</v>
      </c>
      <c r="H12" s="21">
        <v>58</v>
      </c>
      <c r="I12" s="22">
        <f t="shared" si="0"/>
        <v>17.775862068965516</v>
      </c>
      <c r="J12" s="22">
        <v>6</v>
      </c>
      <c r="K12" s="22">
        <v>4</v>
      </c>
      <c r="L12" s="19">
        <v>48214.02</v>
      </c>
      <c r="M12" s="21">
        <v>7803</v>
      </c>
      <c r="N12" s="23">
        <v>45086</v>
      </c>
      <c r="O12" s="30" t="s">
        <v>179</v>
      </c>
      <c r="R12" s="17"/>
    </row>
    <row r="13" spans="1:18" s="24" customFormat="1" ht="25.9" customHeight="1" x14ac:dyDescent="0.2">
      <c r="A13" s="17">
        <v>11</v>
      </c>
      <c r="B13" s="17">
        <v>10</v>
      </c>
      <c r="C13" s="25" t="s">
        <v>97</v>
      </c>
      <c r="D13" s="19">
        <v>6134.81</v>
      </c>
      <c r="E13" s="19">
        <v>6401.83</v>
      </c>
      <c r="F13" s="20">
        <f t="shared" si="1"/>
        <v>-4.1709948561583096E-2</v>
      </c>
      <c r="G13" s="21">
        <v>951</v>
      </c>
      <c r="H13" s="21">
        <v>34</v>
      </c>
      <c r="I13" s="22">
        <f t="shared" si="0"/>
        <v>27.970588235294116</v>
      </c>
      <c r="J13" s="22">
        <v>4</v>
      </c>
      <c r="K13" s="22">
        <v>9</v>
      </c>
      <c r="L13" s="19">
        <v>284928.14</v>
      </c>
      <c r="M13" s="21">
        <v>40405</v>
      </c>
      <c r="N13" s="23">
        <v>45051</v>
      </c>
      <c r="O13" s="36" t="s">
        <v>40</v>
      </c>
      <c r="R13" s="17"/>
    </row>
    <row r="14" spans="1:18" s="24" customFormat="1" ht="25.9" customHeight="1" x14ac:dyDescent="0.2">
      <c r="A14" s="17">
        <v>12</v>
      </c>
      <c r="B14" s="17">
        <v>11</v>
      </c>
      <c r="C14" s="18" t="s">
        <v>11</v>
      </c>
      <c r="D14" s="19">
        <v>6024.24</v>
      </c>
      <c r="E14" s="19">
        <v>5333.84</v>
      </c>
      <c r="F14" s="20">
        <f t="shared" si="1"/>
        <v>0.1294377034181752</v>
      </c>
      <c r="G14" s="21">
        <v>1199</v>
      </c>
      <c r="H14" s="21">
        <v>43</v>
      </c>
      <c r="I14" s="22">
        <f t="shared" si="0"/>
        <v>27.88372093023256</v>
      </c>
      <c r="J14" s="22">
        <v>6</v>
      </c>
      <c r="K14" s="22">
        <v>13</v>
      </c>
      <c r="L14" s="19">
        <v>582066.06999999995</v>
      </c>
      <c r="M14" s="21">
        <v>106971</v>
      </c>
      <c r="N14" s="23">
        <v>45023</v>
      </c>
      <c r="O14" s="30" t="s">
        <v>179</v>
      </c>
      <c r="R14" s="17"/>
    </row>
    <row r="15" spans="1:18" s="24" customFormat="1" ht="25.9" customHeight="1" x14ac:dyDescent="0.2">
      <c r="A15" s="17">
        <v>13</v>
      </c>
      <c r="B15" s="17">
        <v>9</v>
      </c>
      <c r="C15" s="18" t="s">
        <v>143</v>
      </c>
      <c r="D15" s="19">
        <v>5966.38</v>
      </c>
      <c r="E15" s="19">
        <v>6563.23</v>
      </c>
      <c r="F15" s="20">
        <f t="shared" si="1"/>
        <v>-9.0938455607985622E-2</v>
      </c>
      <c r="G15" s="21">
        <v>1110</v>
      </c>
      <c r="H15" s="21">
        <v>38</v>
      </c>
      <c r="I15" s="22">
        <f t="shared" si="0"/>
        <v>29.210526315789473</v>
      </c>
      <c r="J15" s="22">
        <v>6</v>
      </c>
      <c r="K15" s="22">
        <v>6</v>
      </c>
      <c r="L15" s="19">
        <v>88456.62</v>
      </c>
      <c r="M15" s="21">
        <v>16826</v>
      </c>
      <c r="N15" s="23">
        <v>45072</v>
      </c>
      <c r="O15" s="30" t="s">
        <v>40</v>
      </c>
      <c r="R15" s="17"/>
    </row>
    <row r="16" spans="1:18" s="24" customFormat="1" ht="25.9" customHeight="1" x14ac:dyDescent="0.2">
      <c r="A16" s="17">
        <v>14</v>
      </c>
      <c r="B16" s="17">
        <v>7</v>
      </c>
      <c r="C16" s="25" t="s">
        <v>132</v>
      </c>
      <c r="D16" s="19">
        <v>4648.5600000000004</v>
      </c>
      <c r="E16" s="19">
        <v>9527.39</v>
      </c>
      <c r="F16" s="20">
        <f t="shared" si="1"/>
        <v>-0.51208463178268127</v>
      </c>
      <c r="G16" s="21">
        <v>705</v>
      </c>
      <c r="H16" s="21">
        <v>23</v>
      </c>
      <c r="I16" s="22">
        <f t="shared" si="0"/>
        <v>30.652173913043477</v>
      </c>
      <c r="J16" s="22">
        <v>5</v>
      </c>
      <c r="K16" s="22">
        <v>7</v>
      </c>
      <c r="L16" s="19">
        <v>343899.99</v>
      </c>
      <c r="M16" s="21">
        <v>47974</v>
      </c>
      <c r="N16" s="23">
        <v>45065</v>
      </c>
      <c r="O16" s="30" t="s">
        <v>179</v>
      </c>
      <c r="R16" s="17"/>
    </row>
    <row r="17" spans="1:15" s="27" customFormat="1" ht="25.9" customHeight="1" x14ac:dyDescent="0.15">
      <c r="A17" s="17">
        <v>15</v>
      </c>
      <c r="B17" s="20" t="s">
        <v>18</v>
      </c>
      <c r="C17" s="18" t="s">
        <v>37</v>
      </c>
      <c r="D17" s="8">
        <v>2388</v>
      </c>
      <c r="E17" s="19" t="s">
        <v>18</v>
      </c>
      <c r="F17" s="20" t="s">
        <v>18</v>
      </c>
      <c r="G17" s="10">
        <v>480</v>
      </c>
      <c r="H17" s="10">
        <v>4</v>
      </c>
      <c r="I17" s="11">
        <f t="shared" si="0"/>
        <v>120</v>
      </c>
      <c r="J17" s="11">
        <v>2</v>
      </c>
      <c r="K17" s="20" t="s">
        <v>18</v>
      </c>
      <c r="L17" s="19">
        <v>281700.03999999998</v>
      </c>
      <c r="M17" s="21">
        <v>47459</v>
      </c>
      <c r="N17" s="23">
        <v>44973</v>
      </c>
      <c r="O17" s="30" t="s">
        <v>13</v>
      </c>
    </row>
    <row r="18" spans="1:15" s="27" customFormat="1" ht="25.9" customHeight="1" x14ac:dyDescent="0.15">
      <c r="A18" s="17">
        <v>16</v>
      </c>
      <c r="B18" s="17">
        <v>15</v>
      </c>
      <c r="C18" s="18" t="s">
        <v>50</v>
      </c>
      <c r="D18" s="19">
        <v>1190.1099999999999</v>
      </c>
      <c r="E18" s="19">
        <v>1099.83</v>
      </c>
      <c r="F18" s="20">
        <f>(D18-E18)/E18</f>
        <v>8.2085413200221835E-2</v>
      </c>
      <c r="G18" s="21">
        <v>257</v>
      </c>
      <c r="H18" s="21">
        <v>19</v>
      </c>
      <c r="I18" s="22">
        <f t="shared" si="0"/>
        <v>13.526315789473685</v>
      </c>
      <c r="J18" s="22">
        <v>4</v>
      </c>
      <c r="K18" s="22">
        <v>11</v>
      </c>
      <c r="L18" s="19">
        <v>247223.04000000001</v>
      </c>
      <c r="M18" s="21">
        <v>49275</v>
      </c>
      <c r="N18" s="23">
        <v>45037</v>
      </c>
      <c r="O18" s="30" t="s">
        <v>51</v>
      </c>
    </row>
    <row r="19" spans="1:15" s="27" customFormat="1" ht="25.9" customHeight="1" x14ac:dyDescent="0.15">
      <c r="A19" s="17">
        <v>17</v>
      </c>
      <c r="B19" s="17">
        <v>13</v>
      </c>
      <c r="C19" s="25" t="s">
        <v>168</v>
      </c>
      <c r="D19" s="19">
        <v>1006.55</v>
      </c>
      <c r="E19" s="19">
        <v>1372.91</v>
      </c>
      <c r="F19" s="20">
        <f>(D19-E19)/E19</f>
        <v>-0.26684924721940995</v>
      </c>
      <c r="G19" s="21">
        <v>353</v>
      </c>
      <c r="H19" s="21">
        <v>23</v>
      </c>
      <c r="I19" s="22">
        <f t="shared" si="0"/>
        <v>15.347826086956522</v>
      </c>
      <c r="J19" s="22">
        <v>4</v>
      </c>
      <c r="K19" s="20" t="s">
        <v>18</v>
      </c>
      <c r="L19" s="19">
        <v>169884.58</v>
      </c>
      <c r="M19" s="21">
        <v>35140</v>
      </c>
      <c r="N19" s="23">
        <v>44925</v>
      </c>
      <c r="O19" s="35" t="s">
        <v>16</v>
      </c>
    </row>
    <row r="20" spans="1:15" s="27" customFormat="1" ht="25.9" customHeight="1" x14ac:dyDescent="0.15">
      <c r="A20" s="17">
        <v>18</v>
      </c>
      <c r="B20" s="20" t="s">
        <v>18</v>
      </c>
      <c r="C20" s="25" t="s">
        <v>190</v>
      </c>
      <c r="D20" s="8">
        <v>756</v>
      </c>
      <c r="E20" s="19" t="s">
        <v>18</v>
      </c>
      <c r="F20" s="20" t="s">
        <v>18</v>
      </c>
      <c r="G20" s="10">
        <v>325</v>
      </c>
      <c r="H20" s="10">
        <v>73</v>
      </c>
      <c r="I20" s="11">
        <f t="shared" si="0"/>
        <v>4.4520547945205475</v>
      </c>
      <c r="J20" s="11">
        <v>14</v>
      </c>
      <c r="K20" s="20" t="s">
        <v>18</v>
      </c>
      <c r="L20" s="19">
        <v>102043.83</v>
      </c>
      <c r="M20" s="68">
        <v>21679</v>
      </c>
      <c r="N20" s="23">
        <v>44603</v>
      </c>
      <c r="O20" s="30" t="s">
        <v>13</v>
      </c>
    </row>
    <row r="21" spans="1:15" s="61" customFormat="1" ht="25.5" customHeight="1" x14ac:dyDescent="0.2">
      <c r="A21" s="17">
        <v>19</v>
      </c>
      <c r="B21" s="17">
        <v>20</v>
      </c>
      <c r="C21" s="25" t="s">
        <v>36</v>
      </c>
      <c r="D21" s="19">
        <v>729.8</v>
      </c>
      <c r="E21" s="19">
        <v>723.2</v>
      </c>
      <c r="F21" s="20">
        <f>(D21-E21)/E21</f>
        <v>9.1261061946901392E-3</v>
      </c>
      <c r="G21" s="21">
        <v>110</v>
      </c>
      <c r="H21" s="21">
        <v>8</v>
      </c>
      <c r="I21" s="22">
        <f t="shared" si="0"/>
        <v>13.75</v>
      </c>
      <c r="J21" s="22">
        <v>1</v>
      </c>
      <c r="K21" s="22">
        <v>18</v>
      </c>
      <c r="L21" s="19">
        <v>238033.33000000007</v>
      </c>
      <c r="M21" s="21">
        <v>37340</v>
      </c>
      <c r="N21" s="23">
        <v>44988</v>
      </c>
      <c r="O21" s="36" t="s">
        <v>39</v>
      </c>
    </row>
    <row r="22" spans="1:15" s="61" customFormat="1" ht="25.5" customHeight="1" x14ac:dyDescent="0.2">
      <c r="A22" s="17">
        <v>20</v>
      </c>
      <c r="B22" s="20" t="s">
        <v>18</v>
      </c>
      <c r="C22" s="25" t="s">
        <v>191</v>
      </c>
      <c r="D22" s="8">
        <v>672.5</v>
      </c>
      <c r="E22" s="19" t="s">
        <v>18</v>
      </c>
      <c r="F22" s="20" t="s">
        <v>18</v>
      </c>
      <c r="G22" s="10">
        <v>286</v>
      </c>
      <c r="H22" s="10">
        <v>14</v>
      </c>
      <c r="I22" s="11">
        <f t="shared" si="0"/>
        <v>20.428571428571427</v>
      </c>
      <c r="J22" s="11">
        <v>2</v>
      </c>
      <c r="K22" s="20" t="s">
        <v>18</v>
      </c>
      <c r="L22" s="19">
        <v>18231.400000000001</v>
      </c>
      <c r="M22" s="21">
        <v>3996</v>
      </c>
      <c r="N22" s="23">
        <v>44645</v>
      </c>
      <c r="O22" s="30" t="s">
        <v>13</v>
      </c>
    </row>
    <row r="23" spans="1:15" s="61" customFormat="1" ht="25.5" customHeight="1" x14ac:dyDescent="0.2">
      <c r="A23" s="17">
        <v>21</v>
      </c>
      <c r="B23" s="17">
        <v>26</v>
      </c>
      <c r="C23" s="25" t="s">
        <v>142</v>
      </c>
      <c r="D23" s="19">
        <v>646.5</v>
      </c>
      <c r="E23" s="19">
        <v>322.3</v>
      </c>
      <c r="F23" s="20">
        <f>(D23-E23)/E23</f>
        <v>1.0058951287620228</v>
      </c>
      <c r="G23" s="21">
        <v>110</v>
      </c>
      <c r="H23" s="21">
        <v>5</v>
      </c>
      <c r="I23" s="22">
        <f t="shared" si="0"/>
        <v>22</v>
      </c>
      <c r="J23" s="22">
        <v>2</v>
      </c>
      <c r="K23" s="22">
        <v>7</v>
      </c>
      <c r="L23" s="19">
        <v>8193.1</v>
      </c>
      <c r="M23" s="21">
        <v>1440</v>
      </c>
      <c r="N23" s="23">
        <v>45065</v>
      </c>
      <c r="O23" s="36" t="s">
        <v>40</v>
      </c>
    </row>
    <row r="24" spans="1:15" s="61" customFormat="1" ht="25.5" customHeight="1" x14ac:dyDescent="0.2">
      <c r="A24" s="17">
        <v>22</v>
      </c>
      <c r="B24" s="22" t="s">
        <v>57</v>
      </c>
      <c r="C24" s="25" t="s">
        <v>204</v>
      </c>
      <c r="D24" s="19">
        <v>645.75</v>
      </c>
      <c r="E24" s="19" t="s">
        <v>18</v>
      </c>
      <c r="F24" s="20" t="s">
        <v>18</v>
      </c>
      <c r="G24" s="21">
        <v>99</v>
      </c>
      <c r="H24" s="21">
        <v>8</v>
      </c>
      <c r="I24" s="22">
        <f t="shared" si="0"/>
        <v>12.375</v>
      </c>
      <c r="J24" s="22">
        <v>7</v>
      </c>
      <c r="K24" s="22">
        <v>0</v>
      </c>
      <c r="L24" s="19">
        <v>645.75</v>
      </c>
      <c r="M24" s="21">
        <v>99</v>
      </c>
      <c r="N24" s="23" t="s">
        <v>59</v>
      </c>
      <c r="O24" s="30" t="s">
        <v>13</v>
      </c>
    </row>
    <row r="25" spans="1:15" s="61" customFormat="1" ht="25.5" customHeight="1" x14ac:dyDescent="0.2">
      <c r="A25" s="17">
        <v>23</v>
      </c>
      <c r="B25" s="17">
        <v>23</v>
      </c>
      <c r="C25" s="25" t="s">
        <v>34</v>
      </c>
      <c r="D25" s="19">
        <v>621</v>
      </c>
      <c r="E25" s="19">
        <v>573.44000000000005</v>
      </c>
      <c r="F25" s="20">
        <f t="shared" ref="F25:F30" si="2">(D25-E25)/E25</f>
        <v>8.2938058035714177E-2</v>
      </c>
      <c r="G25" s="21">
        <v>251</v>
      </c>
      <c r="H25" s="21">
        <v>15</v>
      </c>
      <c r="I25" s="22">
        <f t="shared" si="0"/>
        <v>16.733333333333334</v>
      </c>
      <c r="J25" s="22">
        <v>2</v>
      </c>
      <c r="K25" s="20" t="s">
        <v>18</v>
      </c>
      <c r="L25" s="19">
        <v>72815.97</v>
      </c>
      <c r="M25" s="21">
        <v>15306</v>
      </c>
      <c r="N25" s="23">
        <v>44981</v>
      </c>
      <c r="O25" s="35" t="s">
        <v>16</v>
      </c>
    </row>
    <row r="26" spans="1:15" s="61" customFormat="1" ht="25.5" customHeight="1" x14ac:dyDescent="0.2">
      <c r="A26" s="17">
        <v>24</v>
      </c>
      <c r="B26" s="17">
        <v>35</v>
      </c>
      <c r="C26" s="18" t="s">
        <v>67</v>
      </c>
      <c r="D26" s="19">
        <v>457.1</v>
      </c>
      <c r="E26" s="19">
        <v>63.8</v>
      </c>
      <c r="F26" s="20">
        <f t="shared" si="2"/>
        <v>6.1645768025078373</v>
      </c>
      <c r="G26" s="21">
        <v>65</v>
      </c>
      <c r="H26" s="22">
        <v>2</v>
      </c>
      <c r="I26" s="22">
        <f t="shared" si="0"/>
        <v>32.5</v>
      </c>
      <c r="J26" s="21">
        <v>2</v>
      </c>
      <c r="K26" s="22">
        <v>15</v>
      </c>
      <c r="L26" s="19">
        <v>56587</v>
      </c>
      <c r="M26" s="21">
        <v>7526</v>
      </c>
      <c r="N26" s="23">
        <v>45012</v>
      </c>
      <c r="O26" s="30" t="s">
        <v>68</v>
      </c>
    </row>
    <row r="27" spans="1:15" s="27" customFormat="1" ht="25.5" customHeight="1" x14ac:dyDescent="0.15">
      <c r="A27" s="17">
        <v>25</v>
      </c>
      <c r="B27" s="17">
        <v>27</v>
      </c>
      <c r="C27" s="25" t="s">
        <v>196</v>
      </c>
      <c r="D27" s="19">
        <v>388.1</v>
      </c>
      <c r="E27" s="19">
        <v>251.5</v>
      </c>
      <c r="F27" s="20">
        <f t="shared" si="2"/>
        <v>0.54314115308151101</v>
      </c>
      <c r="G27" s="21">
        <v>70</v>
      </c>
      <c r="H27" s="21">
        <v>10</v>
      </c>
      <c r="I27" s="22">
        <f t="shared" si="0"/>
        <v>7</v>
      </c>
      <c r="J27" s="22">
        <v>4</v>
      </c>
      <c r="K27" s="22">
        <v>2</v>
      </c>
      <c r="L27" s="19">
        <v>639.6</v>
      </c>
      <c r="M27" s="21">
        <v>107</v>
      </c>
      <c r="N27" s="23">
        <v>45106</v>
      </c>
      <c r="O27" s="30" t="s">
        <v>30</v>
      </c>
    </row>
    <row r="28" spans="1:15" s="61" customFormat="1" ht="25.5" customHeight="1" x14ac:dyDescent="0.2">
      <c r="A28" s="17">
        <v>26</v>
      </c>
      <c r="B28" s="17">
        <v>17</v>
      </c>
      <c r="C28" s="18" t="s">
        <v>90</v>
      </c>
      <c r="D28" s="19">
        <v>286.89999999999998</v>
      </c>
      <c r="E28" s="19">
        <v>926.82</v>
      </c>
      <c r="F28" s="20">
        <f t="shared" si="2"/>
        <v>-0.69044690446904478</v>
      </c>
      <c r="G28" s="21">
        <v>78</v>
      </c>
      <c r="H28" s="21">
        <v>10</v>
      </c>
      <c r="I28" s="22">
        <f t="shared" si="0"/>
        <v>7.8</v>
      </c>
      <c r="J28" s="22">
        <v>3</v>
      </c>
      <c r="K28" s="22">
        <v>10</v>
      </c>
      <c r="L28" s="19">
        <v>44057.889999999992</v>
      </c>
      <c r="M28" s="21">
        <v>8943</v>
      </c>
      <c r="N28" s="23">
        <v>45044</v>
      </c>
      <c r="O28" s="30" t="s">
        <v>16</v>
      </c>
    </row>
    <row r="29" spans="1:15" s="61" customFormat="1" ht="25.5" customHeight="1" x14ac:dyDescent="0.2">
      <c r="A29" s="17">
        <v>27</v>
      </c>
      <c r="B29" s="17">
        <v>24</v>
      </c>
      <c r="C29" s="25" t="s">
        <v>146</v>
      </c>
      <c r="D29" s="19">
        <v>249.8</v>
      </c>
      <c r="E29" s="19">
        <v>428.6</v>
      </c>
      <c r="F29" s="20">
        <f t="shared" si="2"/>
        <v>-0.41717218852076526</v>
      </c>
      <c r="G29" s="21">
        <v>38</v>
      </c>
      <c r="H29" s="21">
        <v>3</v>
      </c>
      <c r="I29" s="22">
        <f t="shared" si="0"/>
        <v>12.666666666666666</v>
      </c>
      <c r="J29" s="22">
        <v>1</v>
      </c>
      <c r="K29" s="22">
        <v>5</v>
      </c>
      <c r="L29" s="19">
        <v>8036.2199999999993</v>
      </c>
      <c r="M29" s="21">
        <v>1248</v>
      </c>
      <c r="N29" s="23">
        <v>45079</v>
      </c>
      <c r="O29" s="30" t="s">
        <v>16</v>
      </c>
    </row>
    <row r="30" spans="1:15" s="61" customFormat="1" ht="25.5" customHeight="1" x14ac:dyDescent="0.2">
      <c r="A30" s="17">
        <v>28</v>
      </c>
      <c r="B30" s="17">
        <v>21</v>
      </c>
      <c r="C30" s="25" t="s">
        <v>182</v>
      </c>
      <c r="D30" s="19">
        <v>189.79</v>
      </c>
      <c r="E30" s="19">
        <v>597.32000000000005</v>
      </c>
      <c r="F30" s="20">
        <f t="shared" si="2"/>
        <v>-0.68226411303823753</v>
      </c>
      <c r="G30" s="21">
        <v>49</v>
      </c>
      <c r="H30" s="21">
        <v>4</v>
      </c>
      <c r="I30" s="22">
        <f t="shared" si="0"/>
        <v>12.25</v>
      </c>
      <c r="J30" s="22">
        <v>1</v>
      </c>
      <c r="K30" s="20" t="s">
        <v>18</v>
      </c>
      <c r="L30" s="19">
        <v>186542.31</v>
      </c>
      <c r="M30" s="21">
        <v>37166</v>
      </c>
      <c r="N30" s="23">
        <v>44568</v>
      </c>
      <c r="O30" s="30" t="s">
        <v>180</v>
      </c>
    </row>
    <row r="31" spans="1:15" s="45" customFormat="1" ht="25.5" customHeight="1" x14ac:dyDescent="0.2">
      <c r="A31" s="17">
        <v>29</v>
      </c>
      <c r="B31" s="20" t="s">
        <v>18</v>
      </c>
      <c r="C31" s="13" t="s">
        <v>128</v>
      </c>
      <c r="D31" s="8">
        <v>185.7</v>
      </c>
      <c r="E31" s="19" t="s">
        <v>18</v>
      </c>
      <c r="F31" s="20" t="s">
        <v>18</v>
      </c>
      <c r="G31" s="10">
        <v>28</v>
      </c>
      <c r="H31" s="10">
        <v>2</v>
      </c>
      <c r="I31" s="11">
        <f t="shared" si="0"/>
        <v>14</v>
      </c>
      <c r="J31" s="11">
        <v>1</v>
      </c>
      <c r="K31" s="20" t="s">
        <v>18</v>
      </c>
      <c r="L31" s="19">
        <v>646035.93000000005</v>
      </c>
      <c r="M31" s="21">
        <v>99427</v>
      </c>
      <c r="N31" s="12">
        <v>44792</v>
      </c>
      <c r="O31" s="34" t="s">
        <v>12</v>
      </c>
    </row>
    <row r="32" spans="1:15" s="61" customFormat="1" ht="25.5" customHeight="1" x14ac:dyDescent="0.2">
      <c r="A32" s="17">
        <v>30</v>
      </c>
      <c r="B32" s="17">
        <v>37</v>
      </c>
      <c r="C32" s="18" t="s">
        <v>106</v>
      </c>
      <c r="D32" s="19">
        <v>147.1</v>
      </c>
      <c r="E32" s="19">
        <v>55.6</v>
      </c>
      <c r="F32" s="20">
        <f>(D32-E32)/E32</f>
        <v>1.6456834532374101</v>
      </c>
      <c r="G32" s="21">
        <v>21</v>
      </c>
      <c r="H32" s="21">
        <v>2</v>
      </c>
      <c r="I32" s="22">
        <f t="shared" si="0"/>
        <v>10.5</v>
      </c>
      <c r="J32" s="22">
        <v>1</v>
      </c>
      <c r="K32" s="20" t="s">
        <v>18</v>
      </c>
      <c r="L32" s="19">
        <v>41121.48000000001</v>
      </c>
      <c r="M32" s="21">
        <v>6965</v>
      </c>
      <c r="N32" s="23">
        <v>44678</v>
      </c>
      <c r="O32" s="30" t="s">
        <v>16</v>
      </c>
    </row>
    <row r="33" spans="1:15" s="27" customFormat="1" ht="25.5" customHeight="1" x14ac:dyDescent="0.15">
      <c r="A33" s="17">
        <v>31</v>
      </c>
      <c r="B33" s="17">
        <v>29</v>
      </c>
      <c r="C33" s="25" t="s">
        <v>147</v>
      </c>
      <c r="D33" s="19">
        <v>115.8</v>
      </c>
      <c r="E33" s="19">
        <v>167.75</v>
      </c>
      <c r="F33" s="20">
        <f>(D33-E33)/E33</f>
        <v>-0.30968703427719824</v>
      </c>
      <c r="G33" s="21">
        <v>23</v>
      </c>
      <c r="H33" s="22">
        <v>5</v>
      </c>
      <c r="I33" s="22">
        <f t="shared" si="0"/>
        <v>4.5999999999999996</v>
      </c>
      <c r="J33" s="21">
        <v>2</v>
      </c>
      <c r="K33" s="22">
        <v>6</v>
      </c>
      <c r="L33" s="19">
        <v>7325.2</v>
      </c>
      <c r="M33" s="21">
        <v>1767</v>
      </c>
      <c r="N33" s="23">
        <v>45072</v>
      </c>
      <c r="O33" s="35" t="s">
        <v>30</v>
      </c>
    </row>
    <row r="34" spans="1:15" s="27" customFormat="1" ht="25.5" customHeight="1" x14ac:dyDescent="0.15">
      <c r="A34" s="17">
        <v>32</v>
      </c>
      <c r="B34" s="17">
        <v>36</v>
      </c>
      <c r="C34" s="18" t="s">
        <v>58</v>
      </c>
      <c r="D34" s="19">
        <v>109.1</v>
      </c>
      <c r="E34" s="19">
        <v>62.8</v>
      </c>
      <c r="F34" s="20">
        <f>(D34-E34)/E34</f>
        <v>0.73726114649681529</v>
      </c>
      <c r="G34" s="21">
        <v>16</v>
      </c>
      <c r="H34" s="21">
        <v>2</v>
      </c>
      <c r="I34" s="22">
        <f t="shared" si="0"/>
        <v>8</v>
      </c>
      <c r="J34" s="22">
        <v>1</v>
      </c>
      <c r="K34" s="22">
        <v>10</v>
      </c>
      <c r="L34" s="19">
        <v>10984.670000000004</v>
      </c>
      <c r="M34" s="21">
        <v>1802</v>
      </c>
      <c r="N34" s="23">
        <v>45044</v>
      </c>
      <c r="O34" s="30" t="s">
        <v>16</v>
      </c>
    </row>
    <row r="35" spans="1:15" s="27" customFormat="1" ht="25.5" customHeight="1" x14ac:dyDescent="0.15">
      <c r="A35" s="17">
        <v>33</v>
      </c>
      <c r="B35" s="17">
        <v>40</v>
      </c>
      <c r="C35" s="25" t="s">
        <v>102</v>
      </c>
      <c r="D35" s="19">
        <v>100.8</v>
      </c>
      <c r="E35" s="19">
        <v>51.8</v>
      </c>
      <c r="F35" s="20">
        <f>(D35-E35)/E35</f>
        <v>0.94594594594594594</v>
      </c>
      <c r="G35" s="21">
        <v>14</v>
      </c>
      <c r="H35" s="22">
        <v>1</v>
      </c>
      <c r="I35" s="22">
        <f t="shared" si="0"/>
        <v>14</v>
      </c>
      <c r="J35" s="22">
        <v>1</v>
      </c>
      <c r="K35" s="20" t="s">
        <v>18</v>
      </c>
      <c r="L35" s="19">
        <v>3759</v>
      </c>
      <c r="M35" s="21">
        <v>659</v>
      </c>
      <c r="N35" s="23">
        <v>45051</v>
      </c>
      <c r="O35" s="35" t="s">
        <v>68</v>
      </c>
    </row>
    <row r="36" spans="1:15" s="27" customFormat="1" ht="25.5" customHeight="1" x14ac:dyDescent="0.15">
      <c r="A36" s="17">
        <v>34</v>
      </c>
      <c r="B36" s="17">
        <v>38</v>
      </c>
      <c r="C36" s="25" t="s">
        <v>79</v>
      </c>
      <c r="D36" s="19">
        <v>100</v>
      </c>
      <c r="E36" s="19">
        <v>55.4</v>
      </c>
      <c r="F36" s="20">
        <f>(D36-E36)/E36</f>
        <v>0.80505415162454874</v>
      </c>
      <c r="G36" s="21">
        <v>16</v>
      </c>
      <c r="H36" s="22">
        <v>1</v>
      </c>
      <c r="I36" s="22">
        <f t="shared" si="0"/>
        <v>16</v>
      </c>
      <c r="J36" s="22">
        <v>1</v>
      </c>
      <c r="K36" s="20" t="s">
        <v>18</v>
      </c>
      <c r="L36" s="19">
        <v>45868</v>
      </c>
      <c r="M36" s="21">
        <v>5391</v>
      </c>
      <c r="N36" s="23">
        <v>45012</v>
      </c>
      <c r="O36" s="35" t="s">
        <v>68</v>
      </c>
    </row>
    <row r="37" spans="1:15" s="27" customFormat="1" ht="25.5" customHeight="1" x14ac:dyDescent="0.15">
      <c r="A37" s="17">
        <v>35</v>
      </c>
      <c r="B37" s="20" t="s">
        <v>18</v>
      </c>
      <c r="C37" s="25" t="s">
        <v>42</v>
      </c>
      <c r="D37" s="8">
        <v>80</v>
      </c>
      <c r="E37" s="19" t="s">
        <v>18</v>
      </c>
      <c r="F37" s="20" t="s">
        <v>18</v>
      </c>
      <c r="G37" s="10">
        <v>20</v>
      </c>
      <c r="H37" s="10">
        <v>1</v>
      </c>
      <c r="I37" s="11">
        <f t="shared" si="0"/>
        <v>20</v>
      </c>
      <c r="J37" s="11">
        <v>1</v>
      </c>
      <c r="K37" s="20" t="s">
        <v>18</v>
      </c>
      <c r="L37" s="19">
        <v>326054.40000000002</v>
      </c>
      <c r="M37" s="21">
        <v>64695</v>
      </c>
      <c r="N37" s="23">
        <v>44960</v>
      </c>
      <c r="O37" s="35" t="s">
        <v>14</v>
      </c>
    </row>
    <row r="38" spans="1:15" s="27" customFormat="1" ht="25.5" customHeight="1" x14ac:dyDescent="0.15">
      <c r="A38" s="17">
        <v>36</v>
      </c>
      <c r="B38" s="17">
        <v>45</v>
      </c>
      <c r="C38" s="25" t="s">
        <v>197</v>
      </c>
      <c r="D38" s="19">
        <v>54.5</v>
      </c>
      <c r="E38" s="19">
        <v>19.5</v>
      </c>
      <c r="F38" s="20">
        <f>(D38-E38)/E38</f>
        <v>1.7948717948717949</v>
      </c>
      <c r="G38" s="21">
        <v>15</v>
      </c>
      <c r="H38" s="21">
        <v>2</v>
      </c>
      <c r="I38" s="22">
        <f t="shared" si="0"/>
        <v>7.5</v>
      </c>
      <c r="J38" s="22">
        <v>1</v>
      </c>
      <c r="K38" s="20" t="s">
        <v>18</v>
      </c>
      <c r="L38" s="19">
        <v>44772.789999999986</v>
      </c>
      <c r="M38" s="21">
        <v>7315</v>
      </c>
      <c r="N38" s="23">
        <v>44932</v>
      </c>
      <c r="O38" s="35" t="s">
        <v>16</v>
      </c>
    </row>
    <row r="39" spans="1:15" s="27" customFormat="1" ht="25.5" customHeight="1" x14ac:dyDescent="0.15">
      <c r="A39" s="17">
        <v>37</v>
      </c>
      <c r="B39" s="20" t="s">
        <v>18</v>
      </c>
      <c r="C39" s="25" t="s">
        <v>149</v>
      </c>
      <c r="D39" s="8">
        <v>42</v>
      </c>
      <c r="E39" s="8" t="s">
        <v>18</v>
      </c>
      <c r="F39" s="9" t="s">
        <v>18</v>
      </c>
      <c r="G39" s="10">
        <v>7</v>
      </c>
      <c r="H39" s="11">
        <v>1</v>
      </c>
      <c r="I39" s="11">
        <f t="shared" si="0"/>
        <v>7</v>
      </c>
      <c r="J39" s="11">
        <v>1</v>
      </c>
      <c r="K39" s="9" t="s">
        <v>18</v>
      </c>
      <c r="L39" s="8">
        <v>22013.59</v>
      </c>
      <c r="M39" s="10">
        <v>3517</v>
      </c>
      <c r="N39" s="12">
        <v>44939</v>
      </c>
      <c r="O39" s="31" t="s">
        <v>30</v>
      </c>
    </row>
    <row r="40" spans="1:15" s="27" customFormat="1" ht="25.5" customHeight="1" x14ac:dyDescent="0.15">
      <c r="A40" s="17">
        <v>38</v>
      </c>
      <c r="B40" s="17">
        <v>14</v>
      </c>
      <c r="C40" s="25" t="s">
        <v>189</v>
      </c>
      <c r="D40" s="19">
        <v>24.5</v>
      </c>
      <c r="E40" s="19">
        <v>1132.28</v>
      </c>
      <c r="F40" s="20">
        <f>(D40-E40)/E40</f>
        <v>-0.97836224255484505</v>
      </c>
      <c r="G40" s="21">
        <v>8</v>
      </c>
      <c r="H40" s="22">
        <v>3</v>
      </c>
      <c r="I40" s="22">
        <f t="shared" si="0"/>
        <v>2.6666666666666665</v>
      </c>
      <c r="J40" s="21">
        <v>2</v>
      </c>
      <c r="K40" s="22">
        <v>3</v>
      </c>
      <c r="L40" s="19">
        <v>9326.58</v>
      </c>
      <c r="M40" s="21">
        <v>1709</v>
      </c>
      <c r="N40" s="23">
        <v>45093</v>
      </c>
      <c r="O40" s="30" t="s">
        <v>13</v>
      </c>
    </row>
    <row r="41" spans="1:15" s="27" customFormat="1" ht="25.5" customHeight="1" x14ac:dyDescent="0.15">
      <c r="A41" s="17">
        <v>39</v>
      </c>
      <c r="B41" s="17">
        <v>42</v>
      </c>
      <c r="C41" s="25" t="s">
        <v>169</v>
      </c>
      <c r="D41" s="19">
        <v>23</v>
      </c>
      <c r="E41" s="19">
        <v>30</v>
      </c>
      <c r="F41" s="20">
        <f>(D41-E41)/E41</f>
        <v>-0.23333333333333334</v>
      </c>
      <c r="G41" s="21">
        <v>7</v>
      </c>
      <c r="H41" s="21">
        <v>2</v>
      </c>
      <c r="I41" s="22">
        <f t="shared" si="0"/>
        <v>3.5</v>
      </c>
      <c r="J41" s="22">
        <v>1</v>
      </c>
      <c r="K41" s="22">
        <v>4</v>
      </c>
      <c r="L41" s="19">
        <v>3897.94</v>
      </c>
      <c r="M41" s="21">
        <v>599</v>
      </c>
      <c r="N41" s="23">
        <v>45086</v>
      </c>
      <c r="O41" s="35" t="s">
        <v>170</v>
      </c>
    </row>
    <row r="42" spans="1:15" s="27" customFormat="1" ht="25.5" customHeight="1" x14ac:dyDescent="0.15">
      <c r="A42" s="17">
        <v>40</v>
      </c>
      <c r="B42" s="20" t="s">
        <v>18</v>
      </c>
      <c r="C42" s="25" t="s">
        <v>23</v>
      </c>
      <c r="D42" s="8">
        <v>22.2</v>
      </c>
      <c r="E42" s="19" t="s">
        <v>18</v>
      </c>
      <c r="F42" s="20" t="s">
        <v>18</v>
      </c>
      <c r="G42" s="10">
        <v>3</v>
      </c>
      <c r="H42" s="10">
        <v>1</v>
      </c>
      <c r="I42" s="11">
        <f t="shared" si="0"/>
        <v>3</v>
      </c>
      <c r="J42" s="11">
        <v>1</v>
      </c>
      <c r="K42" s="20" t="s">
        <v>18</v>
      </c>
      <c r="L42" s="19">
        <v>35768.74</v>
      </c>
      <c r="M42" s="21">
        <v>5616</v>
      </c>
      <c r="N42" s="23">
        <v>45030</v>
      </c>
      <c r="O42" s="36" t="s">
        <v>12</v>
      </c>
    </row>
    <row r="43" spans="1:15" s="45" customFormat="1" ht="25.5" customHeight="1" x14ac:dyDescent="0.2">
      <c r="A43" s="41"/>
      <c r="B43" s="67" t="s">
        <v>85</v>
      </c>
      <c r="C43" s="46" t="s">
        <v>138</v>
      </c>
      <c r="D43" s="47">
        <f>SUBTOTAL(109,Table13245879101112[Pajamos 
(GBO)])</f>
        <v>328858.39999999985</v>
      </c>
      <c r="E43" s="47" t="s">
        <v>205</v>
      </c>
      <c r="F43" s="42">
        <f>(D43-E43)/E43</f>
        <v>0.37627025013705789</v>
      </c>
      <c r="G43" s="43">
        <f>SUBTOTAL(109,Table13245879101112[Žiūrovų sk. 
(ADM)])</f>
        <v>56136</v>
      </c>
      <c r="H43" s="55"/>
      <c r="I43" s="46"/>
      <c r="J43" s="51"/>
      <c r="K43" s="46"/>
      <c r="L43" s="53"/>
      <c r="M43" s="55"/>
      <c r="N43" s="60"/>
      <c r="O43" s="46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8448A-C980-4B78-8C4C-5AE36F347105}">
  <sheetPr>
    <pageSetUpPr fitToPage="1"/>
  </sheetPr>
  <dimension ref="A1:XFC48"/>
  <sheetViews>
    <sheetView topLeftCell="A23" zoomScale="60" zoomScaleNormal="60" workbookViewId="0">
      <selection activeCell="D45" sqref="D45:O45"/>
    </sheetView>
  </sheetViews>
  <sheetFormatPr defaultColWidth="0" defaultRowHeight="11.25" zeroHeight="1" x14ac:dyDescent="0.15"/>
  <cols>
    <col min="1" max="1" width="4.7109375" style="66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8" width="20.7109375" style="56" customWidth="1"/>
    <col min="9" max="9" width="20.7109375" style="1" customWidth="1"/>
    <col min="10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195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4" t="s">
        <v>4</v>
      </c>
      <c r="I2" s="15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5" customHeight="1" x14ac:dyDescent="0.2">
      <c r="A3" s="17">
        <v>1</v>
      </c>
      <c r="B3" s="22">
        <v>1</v>
      </c>
      <c r="C3" s="25" t="s">
        <v>181</v>
      </c>
      <c r="D3" s="19">
        <v>65429.52</v>
      </c>
      <c r="E3" s="19">
        <v>117174.14</v>
      </c>
      <c r="F3" s="20">
        <f t="shared" ref="F3:F13" si="0">(D3-E3)/E3</f>
        <v>-0.44160443592758608</v>
      </c>
      <c r="G3" s="21">
        <v>13190</v>
      </c>
      <c r="H3" s="21">
        <v>485</v>
      </c>
      <c r="I3" s="22">
        <f t="shared" ref="I3:I26" si="1">G3/H3</f>
        <v>27.195876288659793</v>
      </c>
      <c r="J3" s="22">
        <v>29</v>
      </c>
      <c r="K3" s="22">
        <v>2</v>
      </c>
      <c r="L3" s="19">
        <v>187730.39</v>
      </c>
      <c r="M3" s="21">
        <v>37963</v>
      </c>
      <c r="N3" s="23">
        <v>45093</v>
      </c>
      <c r="O3" s="30" t="s">
        <v>40</v>
      </c>
    </row>
    <row r="4" spans="1:18" s="24" customFormat="1" ht="25.9" customHeight="1" x14ac:dyDescent="0.2">
      <c r="A4" s="17">
        <v>2</v>
      </c>
      <c r="B4" s="22" t="s">
        <v>31</v>
      </c>
      <c r="C4" s="25" t="s">
        <v>188</v>
      </c>
      <c r="D4" s="19">
        <v>44357.8</v>
      </c>
      <c r="E4" s="19" t="s">
        <v>18</v>
      </c>
      <c r="F4" s="20" t="s">
        <v>18</v>
      </c>
      <c r="G4" s="21">
        <v>6135</v>
      </c>
      <c r="H4" s="21">
        <v>202</v>
      </c>
      <c r="I4" s="22">
        <f t="shared" si="1"/>
        <v>30.371287128712872</v>
      </c>
      <c r="J4" s="22">
        <v>15</v>
      </c>
      <c r="K4" s="22">
        <v>1</v>
      </c>
      <c r="L4" s="19">
        <v>54050.37</v>
      </c>
      <c r="M4" s="21">
        <v>7223</v>
      </c>
      <c r="N4" s="23">
        <v>45100</v>
      </c>
      <c r="O4" s="35" t="s">
        <v>12</v>
      </c>
    </row>
    <row r="5" spans="1:18" s="24" customFormat="1" ht="25.9" customHeight="1" x14ac:dyDescent="0.2">
      <c r="A5" s="17">
        <v>3</v>
      </c>
      <c r="B5" s="22">
        <v>2</v>
      </c>
      <c r="C5" s="25" t="s">
        <v>151</v>
      </c>
      <c r="D5" s="19">
        <v>32769.1</v>
      </c>
      <c r="E5" s="19">
        <v>58990.720000000001</v>
      </c>
      <c r="F5" s="20">
        <f t="shared" si="0"/>
        <v>-0.44450415251754855</v>
      </c>
      <c r="G5" s="21">
        <v>5642</v>
      </c>
      <c r="H5" s="21">
        <v>207</v>
      </c>
      <c r="I5" s="22">
        <f t="shared" si="1"/>
        <v>27.256038647342994</v>
      </c>
      <c r="J5" s="22">
        <v>15</v>
      </c>
      <c r="K5" s="22">
        <v>4</v>
      </c>
      <c r="L5" s="19">
        <v>263070.11</v>
      </c>
      <c r="M5" s="21">
        <v>44130</v>
      </c>
      <c r="N5" s="23">
        <v>45079</v>
      </c>
      <c r="O5" s="36" t="s">
        <v>12</v>
      </c>
      <c r="R5" s="17"/>
    </row>
    <row r="6" spans="1:18" s="24" customFormat="1" ht="25.9" customHeight="1" x14ac:dyDescent="0.2">
      <c r="A6" s="17">
        <v>4</v>
      </c>
      <c r="B6" s="22">
        <v>3</v>
      </c>
      <c r="C6" s="25" t="s">
        <v>173</v>
      </c>
      <c r="D6" s="19">
        <v>22700.61</v>
      </c>
      <c r="E6" s="19">
        <v>39268.050000000003</v>
      </c>
      <c r="F6" s="20">
        <f t="shared" si="0"/>
        <v>-0.4219063589865043</v>
      </c>
      <c r="G6" s="21">
        <v>3759</v>
      </c>
      <c r="H6" s="21">
        <v>189</v>
      </c>
      <c r="I6" s="22">
        <f t="shared" si="1"/>
        <v>19.888888888888889</v>
      </c>
      <c r="J6" s="22">
        <v>17</v>
      </c>
      <c r="K6" s="22">
        <v>3</v>
      </c>
      <c r="L6" s="19">
        <v>131183.54</v>
      </c>
      <c r="M6" s="21">
        <v>20052</v>
      </c>
      <c r="N6" s="23">
        <v>45086</v>
      </c>
      <c r="O6" s="30" t="s">
        <v>180</v>
      </c>
      <c r="R6" s="17"/>
    </row>
    <row r="7" spans="1:18" s="24" customFormat="1" ht="25.9" customHeight="1" x14ac:dyDescent="0.2">
      <c r="A7" s="17">
        <v>5</v>
      </c>
      <c r="B7" s="22">
        <v>6</v>
      </c>
      <c r="C7" s="25" t="s">
        <v>171</v>
      </c>
      <c r="D7" s="19">
        <v>12178.39</v>
      </c>
      <c r="E7" s="19">
        <v>15951.73</v>
      </c>
      <c r="F7" s="20">
        <f t="shared" si="0"/>
        <v>-0.23654738388876945</v>
      </c>
      <c r="G7" s="21">
        <v>1961</v>
      </c>
      <c r="H7" s="21">
        <v>57</v>
      </c>
      <c r="I7" s="22">
        <f t="shared" si="1"/>
        <v>34.403508771929822</v>
      </c>
      <c r="J7" s="22">
        <v>7</v>
      </c>
      <c r="K7" s="22">
        <v>4</v>
      </c>
      <c r="L7" s="19">
        <v>64498.81</v>
      </c>
      <c r="M7" s="21">
        <v>10341</v>
      </c>
      <c r="N7" s="23">
        <v>45079</v>
      </c>
      <c r="O7" s="30" t="s">
        <v>40</v>
      </c>
      <c r="R7" s="17"/>
    </row>
    <row r="8" spans="1:18" s="24" customFormat="1" ht="25.9" customHeight="1" x14ac:dyDescent="0.2">
      <c r="A8" s="17">
        <v>6</v>
      </c>
      <c r="B8" s="22">
        <v>4</v>
      </c>
      <c r="C8" s="25" t="s">
        <v>178</v>
      </c>
      <c r="D8" s="19">
        <v>11612.19</v>
      </c>
      <c r="E8" s="19">
        <v>35216.730000000003</v>
      </c>
      <c r="F8" s="20">
        <f t="shared" si="0"/>
        <v>-0.67026495645677486</v>
      </c>
      <c r="G8" s="21">
        <v>2024</v>
      </c>
      <c r="H8" s="21">
        <v>185</v>
      </c>
      <c r="I8" s="22">
        <f t="shared" si="1"/>
        <v>10.940540540540541</v>
      </c>
      <c r="J8" s="22">
        <v>13</v>
      </c>
      <c r="K8" s="22">
        <v>2</v>
      </c>
      <c r="L8" s="19">
        <v>53005.26</v>
      </c>
      <c r="M8" s="21">
        <v>8346</v>
      </c>
      <c r="N8" s="23">
        <v>45093</v>
      </c>
      <c r="O8" s="35" t="s">
        <v>14</v>
      </c>
      <c r="R8" s="17"/>
    </row>
    <row r="9" spans="1:18" s="24" customFormat="1" ht="25.5" customHeight="1" x14ac:dyDescent="0.2">
      <c r="A9" s="17">
        <v>7</v>
      </c>
      <c r="B9" s="22">
        <v>5</v>
      </c>
      <c r="C9" s="25" t="s">
        <v>132</v>
      </c>
      <c r="D9" s="19">
        <v>9527.39</v>
      </c>
      <c r="E9" s="19">
        <v>21150.16</v>
      </c>
      <c r="F9" s="20">
        <f t="shared" si="0"/>
        <v>-0.54953579547388764</v>
      </c>
      <c r="G9" s="21">
        <v>1553</v>
      </c>
      <c r="H9" s="21">
        <v>70</v>
      </c>
      <c r="I9" s="22">
        <f t="shared" si="1"/>
        <v>22.185714285714287</v>
      </c>
      <c r="J9" s="22">
        <v>7</v>
      </c>
      <c r="K9" s="22">
        <v>6</v>
      </c>
      <c r="L9" s="19">
        <v>339251.43</v>
      </c>
      <c r="M9" s="21">
        <v>47269</v>
      </c>
      <c r="N9" s="23">
        <v>45065</v>
      </c>
      <c r="O9" s="30" t="s">
        <v>179</v>
      </c>
      <c r="R9" s="17"/>
    </row>
    <row r="10" spans="1:18" s="24" customFormat="1" ht="25.9" customHeight="1" x14ac:dyDescent="0.2">
      <c r="A10" s="17">
        <v>8</v>
      </c>
      <c r="B10" s="22">
        <v>7</v>
      </c>
      <c r="C10" s="25" t="s">
        <v>174</v>
      </c>
      <c r="D10" s="19">
        <v>7066.91</v>
      </c>
      <c r="E10" s="19">
        <v>13408.55</v>
      </c>
      <c r="F10" s="20">
        <f t="shared" si="0"/>
        <v>-0.47295494292820622</v>
      </c>
      <c r="G10" s="21">
        <v>1160</v>
      </c>
      <c r="H10" s="21">
        <v>63</v>
      </c>
      <c r="I10" s="22">
        <f t="shared" si="1"/>
        <v>18.412698412698411</v>
      </c>
      <c r="J10" s="22">
        <v>8</v>
      </c>
      <c r="K10" s="22">
        <v>3</v>
      </c>
      <c r="L10" s="19">
        <v>41500.910000000003</v>
      </c>
      <c r="M10" s="21">
        <v>6772</v>
      </c>
      <c r="N10" s="23">
        <v>45086</v>
      </c>
      <c r="O10" s="30" t="s">
        <v>179</v>
      </c>
      <c r="R10" s="17"/>
    </row>
    <row r="11" spans="1:18" s="24" customFormat="1" ht="25.9" customHeight="1" x14ac:dyDescent="0.2">
      <c r="A11" s="17">
        <v>9</v>
      </c>
      <c r="B11" s="22">
        <v>8</v>
      </c>
      <c r="C11" s="18" t="s">
        <v>143</v>
      </c>
      <c r="D11" s="19">
        <v>6563.23</v>
      </c>
      <c r="E11" s="19">
        <v>13119.73</v>
      </c>
      <c r="F11" s="20">
        <f t="shared" si="0"/>
        <v>-0.49974351606321166</v>
      </c>
      <c r="G11" s="21">
        <v>1329</v>
      </c>
      <c r="H11" s="21">
        <v>62</v>
      </c>
      <c r="I11" s="22">
        <f t="shared" si="1"/>
        <v>21.43548387096774</v>
      </c>
      <c r="J11" s="22">
        <v>8</v>
      </c>
      <c r="K11" s="22">
        <v>5</v>
      </c>
      <c r="L11" s="19">
        <v>82490.240000000005</v>
      </c>
      <c r="M11" s="21">
        <v>15716</v>
      </c>
      <c r="N11" s="23">
        <v>45072</v>
      </c>
      <c r="O11" s="30" t="s">
        <v>40</v>
      </c>
      <c r="R11" s="17"/>
    </row>
    <row r="12" spans="1:18" s="24" customFormat="1" ht="25.9" customHeight="1" x14ac:dyDescent="0.2">
      <c r="A12" s="17">
        <v>10</v>
      </c>
      <c r="B12" s="22">
        <v>11</v>
      </c>
      <c r="C12" s="25" t="s">
        <v>97</v>
      </c>
      <c r="D12" s="19">
        <v>6401.83</v>
      </c>
      <c r="E12" s="19">
        <v>9185.2000000000007</v>
      </c>
      <c r="F12" s="20">
        <f t="shared" si="0"/>
        <v>-0.30302769672952146</v>
      </c>
      <c r="G12" s="21">
        <v>1006</v>
      </c>
      <c r="H12" s="21">
        <v>44</v>
      </c>
      <c r="I12" s="22">
        <f t="shared" si="1"/>
        <v>22.863636363636363</v>
      </c>
      <c r="J12" s="22">
        <v>5</v>
      </c>
      <c r="K12" s="22">
        <v>8</v>
      </c>
      <c r="L12" s="19">
        <v>278793.33</v>
      </c>
      <c r="M12" s="21">
        <v>39454</v>
      </c>
      <c r="N12" s="23">
        <v>45051</v>
      </c>
      <c r="O12" s="36" t="s">
        <v>40</v>
      </c>
      <c r="R12" s="17"/>
    </row>
    <row r="13" spans="1:18" s="24" customFormat="1" ht="25.9" customHeight="1" x14ac:dyDescent="0.2">
      <c r="A13" s="17">
        <v>11</v>
      </c>
      <c r="B13" s="22">
        <v>9</v>
      </c>
      <c r="C13" s="18" t="s">
        <v>11</v>
      </c>
      <c r="D13" s="19">
        <v>5333.84</v>
      </c>
      <c r="E13" s="19">
        <v>11579.13</v>
      </c>
      <c r="F13" s="20">
        <f t="shared" si="0"/>
        <v>-0.539357447407534</v>
      </c>
      <c r="G13" s="21">
        <v>1093</v>
      </c>
      <c r="H13" s="21">
        <v>76</v>
      </c>
      <c r="I13" s="22">
        <f t="shared" si="1"/>
        <v>14.381578947368421</v>
      </c>
      <c r="J13" s="22">
        <v>8</v>
      </c>
      <c r="K13" s="22">
        <v>12</v>
      </c>
      <c r="L13" s="19">
        <v>576041.82999999996</v>
      </c>
      <c r="M13" s="21">
        <v>105772</v>
      </c>
      <c r="N13" s="23">
        <v>45023</v>
      </c>
      <c r="O13" s="30" t="s">
        <v>179</v>
      </c>
      <c r="R13" s="17"/>
    </row>
    <row r="14" spans="1:18" s="24" customFormat="1" ht="25.9" customHeight="1" x14ac:dyDescent="0.2">
      <c r="A14" s="17">
        <v>12</v>
      </c>
      <c r="B14" s="22" t="s">
        <v>57</v>
      </c>
      <c r="C14" s="13" t="s">
        <v>199</v>
      </c>
      <c r="D14" s="8">
        <v>2748.06</v>
      </c>
      <c r="E14" s="19" t="s">
        <v>18</v>
      </c>
      <c r="F14" s="20" t="s">
        <v>18</v>
      </c>
      <c r="G14" s="10">
        <v>380</v>
      </c>
      <c r="H14" s="10">
        <v>6</v>
      </c>
      <c r="I14" s="22">
        <f t="shared" si="1"/>
        <v>63.333333333333336</v>
      </c>
      <c r="J14" s="11">
        <v>6</v>
      </c>
      <c r="K14" s="11">
        <v>0</v>
      </c>
      <c r="L14" s="19">
        <v>2748.06</v>
      </c>
      <c r="M14" s="21">
        <v>380</v>
      </c>
      <c r="N14" s="12" t="s">
        <v>59</v>
      </c>
      <c r="O14" s="36" t="s">
        <v>40</v>
      </c>
      <c r="R14" s="17"/>
    </row>
    <row r="15" spans="1:18" s="24" customFormat="1" ht="25.9" customHeight="1" x14ac:dyDescent="0.2">
      <c r="A15" s="17">
        <v>13</v>
      </c>
      <c r="B15" s="22">
        <v>29</v>
      </c>
      <c r="C15" s="25" t="s">
        <v>168</v>
      </c>
      <c r="D15" s="19">
        <v>1372.91</v>
      </c>
      <c r="E15" s="19">
        <v>244.99</v>
      </c>
      <c r="F15" s="20">
        <f>(D15-E15)/E15</f>
        <v>4.6039430180823713</v>
      </c>
      <c r="G15" s="21">
        <v>547</v>
      </c>
      <c r="H15" s="21">
        <v>17</v>
      </c>
      <c r="I15" s="22">
        <f t="shared" si="1"/>
        <v>32.176470588235297</v>
      </c>
      <c r="J15" s="22">
        <v>4</v>
      </c>
      <c r="K15" s="20" t="s">
        <v>18</v>
      </c>
      <c r="L15" s="19">
        <v>168878.03</v>
      </c>
      <c r="M15" s="21">
        <v>34787</v>
      </c>
      <c r="N15" s="23">
        <v>44925</v>
      </c>
      <c r="O15" s="35" t="s">
        <v>16</v>
      </c>
      <c r="R15" s="17"/>
    </row>
    <row r="16" spans="1:18" s="24" customFormat="1" ht="25.9" customHeight="1" x14ac:dyDescent="0.2">
      <c r="A16" s="17">
        <v>14</v>
      </c>
      <c r="B16" s="22">
        <v>12</v>
      </c>
      <c r="C16" s="25" t="s">
        <v>189</v>
      </c>
      <c r="D16" s="19">
        <v>1132.28</v>
      </c>
      <c r="E16" s="19">
        <v>7983.8</v>
      </c>
      <c r="F16" s="20">
        <f>(D16-E16)/E16</f>
        <v>-0.85817781006538241</v>
      </c>
      <c r="G16" s="21">
        <v>197</v>
      </c>
      <c r="H16" s="22">
        <v>31</v>
      </c>
      <c r="I16" s="22">
        <f t="shared" si="1"/>
        <v>6.354838709677419</v>
      </c>
      <c r="J16" s="21">
        <v>9</v>
      </c>
      <c r="K16" s="22">
        <v>2</v>
      </c>
      <c r="L16" s="19">
        <v>9116.08</v>
      </c>
      <c r="M16" s="21">
        <v>1674</v>
      </c>
      <c r="N16" s="23">
        <v>45093</v>
      </c>
      <c r="O16" s="30" t="s">
        <v>13</v>
      </c>
      <c r="R16" s="17"/>
    </row>
    <row r="17" spans="1:15" s="27" customFormat="1" ht="25.9" customHeight="1" x14ac:dyDescent="0.15">
      <c r="A17" s="17">
        <v>15</v>
      </c>
      <c r="B17" s="22">
        <v>14</v>
      </c>
      <c r="C17" s="18" t="s">
        <v>50</v>
      </c>
      <c r="D17" s="19">
        <v>1099.83</v>
      </c>
      <c r="E17" s="19">
        <v>1874.1</v>
      </c>
      <c r="F17" s="20">
        <f>(D17-E17)/E17</f>
        <v>-0.41314230830798787</v>
      </c>
      <c r="G17" s="21">
        <v>241</v>
      </c>
      <c r="H17" s="21">
        <v>31</v>
      </c>
      <c r="I17" s="22">
        <f t="shared" si="1"/>
        <v>7.774193548387097</v>
      </c>
      <c r="J17" s="22">
        <v>6</v>
      </c>
      <c r="K17" s="22">
        <v>10</v>
      </c>
      <c r="L17" s="19">
        <v>246032.93000000002</v>
      </c>
      <c r="M17" s="21">
        <v>49018</v>
      </c>
      <c r="N17" s="23">
        <v>45037</v>
      </c>
      <c r="O17" s="30" t="s">
        <v>51</v>
      </c>
    </row>
    <row r="18" spans="1:15" s="27" customFormat="1" ht="25.9" customHeight="1" x14ac:dyDescent="0.15">
      <c r="A18" s="17">
        <v>16</v>
      </c>
      <c r="B18" s="22" t="s">
        <v>57</v>
      </c>
      <c r="C18" s="13" t="s">
        <v>200</v>
      </c>
      <c r="D18" s="8">
        <v>978.78</v>
      </c>
      <c r="E18" s="19" t="s">
        <v>18</v>
      </c>
      <c r="F18" s="20" t="s">
        <v>18</v>
      </c>
      <c r="G18" s="10">
        <v>195</v>
      </c>
      <c r="H18" s="10">
        <v>5</v>
      </c>
      <c r="I18" s="22">
        <f t="shared" si="1"/>
        <v>39</v>
      </c>
      <c r="J18" s="11">
        <v>5</v>
      </c>
      <c r="K18" s="11">
        <v>0</v>
      </c>
      <c r="L18" s="19">
        <v>978.78</v>
      </c>
      <c r="M18" s="21">
        <v>195</v>
      </c>
      <c r="N18" s="12" t="s">
        <v>59</v>
      </c>
      <c r="O18" s="30" t="s">
        <v>179</v>
      </c>
    </row>
    <row r="19" spans="1:15" s="27" customFormat="1" ht="25.9" customHeight="1" x14ac:dyDescent="0.15">
      <c r="A19" s="17">
        <v>17</v>
      </c>
      <c r="B19" s="22">
        <v>17</v>
      </c>
      <c r="C19" s="18" t="s">
        <v>90</v>
      </c>
      <c r="D19" s="19">
        <v>926.82</v>
      </c>
      <c r="E19" s="19">
        <v>748.49</v>
      </c>
      <c r="F19" s="20">
        <f>(D19-E19)/E19</f>
        <v>0.23825301607235908</v>
      </c>
      <c r="G19" s="21">
        <v>239</v>
      </c>
      <c r="H19" s="21">
        <v>16</v>
      </c>
      <c r="I19" s="22">
        <f t="shared" si="1"/>
        <v>14.9375</v>
      </c>
      <c r="J19" s="22">
        <v>3</v>
      </c>
      <c r="K19" s="22">
        <v>9</v>
      </c>
      <c r="L19" s="19">
        <v>43770.989999999991</v>
      </c>
      <c r="M19" s="21">
        <v>8865</v>
      </c>
      <c r="N19" s="23">
        <v>45044</v>
      </c>
      <c r="O19" s="30" t="s">
        <v>16</v>
      </c>
    </row>
    <row r="20" spans="1:15" s="27" customFormat="1" ht="25.5" customHeight="1" x14ac:dyDescent="0.15">
      <c r="A20" s="17">
        <v>18</v>
      </c>
      <c r="B20" s="19" t="s">
        <v>18</v>
      </c>
      <c r="C20" s="13" t="s">
        <v>44</v>
      </c>
      <c r="D20" s="8">
        <v>760</v>
      </c>
      <c r="E20" s="19" t="s">
        <v>18</v>
      </c>
      <c r="F20" s="20" t="s">
        <v>18</v>
      </c>
      <c r="G20" s="10">
        <v>152</v>
      </c>
      <c r="H20" s="10">
        <v>1</v>
      </c>
      <c r="I20" s="22">
        <f t="shared" si="1"/>
        <v>152</v>
      </c>
      <c r="J20" s="11">
        <v>1</v>
      </c>
      <c r="K20" s="22" t="s">
        <v>18</v>
      </c>
      <c r="L20" s="19">
        <v>1045233.39</v>
      </c>
      <c r="M20" s="21">
        <v>194519</v>
      </c>
      <c r="N20" s="23">
        <v>44916</v>
      </c>
      <c r="O20" s="30" t="s">
        <v>179</v>
      </c>
    </row>
    <row r="21" spans="1:15" s="61" customFormat="1" ht="25.9" customHeight="1" x14ac:dyDescent="0.2">
      <c r="A21" s="17">
        <v>19</v>
      </c>
      <c r="B21" s="19" t="s">
        <v>18</v>
      </c>
      <c r="C21" s="13" t="s">
        <v>65</v>
      </c>
      <c r="D21" s="8">
        <v>729.54</v>
      </c>
      <c r="E21" s="19" t="s">
        <v>18</v>
      </c>
      <c r="F21" s="20" t="s">
        <v>18</v>
      </c>
      <c r="G21" s="10">
        <v>125</v>
      </c>
      <c r="H21" s="10">
        <v>11</v>
      </c>
      <c r="I21" s="22">
        <f t="shared" si="1"/>
        <v>11.363636363636363</v>
      </c>
      <c r="J21" s="11">
        <v>1</v>
      </c>
      <c r="K21" s="22" t="s">
        <v>18</v>
      </c>
      <c r="L21" s="19">
        <v>2676579.83</v>
      </c>
      <c r="M21" s="21">
        <v>354369</v>
      </c>
      <c r="N21" s="12">
        <v>44911</v>
      </c>
      <c r="O21" s="31" t="s">
        <v>40</v>
      </c>
    </row>
    <row r="22" spans="1:15" s="27" customFormat="1" ht="25.9" customHeight="1" x14ac:dyDescent="0.15">
      <c r="A22" s="17">
        <v>20</v>
      </c>
      <c r="B22" s="22">
        <v>15</v>
      </c>
      <c r="C22" s="25" t="s">
        <v>36</v>
      </c>
      <c r="D22" s="19">
        <v>723.2</v>
      </c>
      <c r="E22" s="19">
        <v>1037.7</v>
      </c>
      <c r="F22" s="20">
        <f>(D22-E22)/E22</f>
        <v>-0.30307410619639585</v>
      </c>
      <c r="G22" s="21">
        <v>157</v>
      </c>
      <c r="H22" s="21">
        <v>8</v>
      </c>
      <c r="I22" s="22">
        <f t="shared" si="1"/>
        <v>19.625</v>
      </c>
      <c r="J22" s="22">
        <v>2</v>
      </c>
      <c r="K22" s="22">
        <v>17</v>
      </c>
      <c r="L22" s="19">
        <v>237303.53000000006</v>
      </c>
      <c r="M22" s="21">
        <v>37230</v>
      </c>
      <c r="N22" s="23">
        <v>44988</v>
      </c>
      <c r="O22" s="36" t="s">
        <v>39</v>
      </c>
    </row>
    <row r="23" spans="1:15" s="61" customFormat="1" ht="25.5" customHeight="1" x14ac:dyDescent="0.2">
      <c r="A23" s="17">
        <v>21</v>
      </c>
      <c r="B23" s="22">
        <v>30</v>
      </c>
      <c r="C23" s="25" t="s">
        <v>182</v>
      </c>
      <c r="D23" s="19">
        <v>597.32000000000005</v>
      </c>
      <c r="E23" s="19">
        <v>223.6</v>
      </c>
      <c r="F23" s="20">
        <f>(D23-E23)/E23</f>
        <v>1.671377459749553</v>
      </c>
      <c r="G23" s="21">
        <v>139</v>
      </c>
      <c r="H23" s="21">
        <v>4</v>
      </c>
      <c r="I23" s="22">
        <f t="shared" si="1"/>
        <v>34.75</v>
      </c>
      <c r="J23" s="22">
        <v>1</v>
      </c>
      <c r="K23" s="20" t="s">
        <v>18</v>
      </c>
      <c r="L23" s="19">
        <v>186352.52</v>
      </c>
      <c r="M23" s="21">
        <v>37117</v>
      </c>
      <c r="N23" s="23">
        <v>44568</v>
      </c>
      <c r="O23" s="30" t="s">
        <v>180</v>
      </c>
    </row>
    <row r="24" spans="1:15" s="61" customFormat="1" ht="25.5" customHeight="1" x14ac:dyDescent="0.2">
      <c r="A24" s="17">
        <v>22</v>
      </c>
      <c r="B24" s="22" t="s">
        <v>57</v>
      </c>
      <c r="C24" s="13" t="s">
        <v>198</v>
      </c>
      <c r="D24" s="8">
        <v>575</v>
      </c>
      <c r="E24" s="19" t="s">
        <v>18</v>
      </c>
      <c r="F24" s="20" t="s">
        <v>18</v>
      </c>
      <c r="G24" s="10">
        <v>115</v>
      </c>
      <c r="H24" s="10">
        <v>1</v>
      </c>
      <c r="I24" s="11">
        <f t="shared" si="1"/>
        <v>115</v>
      </c>
      <c r="J24" s="11">
        <v>1</v>
      </c>
      <c r="K24" s="11">
        <v>0</v>
      </c>
      <c r="L24" s="19">
        <v>575</v>
      </c>
      <c r="M24" s="21">
        <v>115</v>
      </c>
      <c r="N24" s="12" t="s">
        <v>59</v>
      </c>
      <c r="O24" s="30" t="s">
        <v>13</v>
      </c>
    </row>
    <row r="25" spans="1:15" s="61" customFormat="1" ht="25.5" customHeight="1" x14ac:dyDescent="0.2">
      <c r="A25" s="17">
        <v>23</v>
      </c>
      <c r="B25" s="19" t="s">
        <v>18</v>
      </c>
      <c r="C25" s="25" t="s">
        <v>34</v>
      </c>
      <c r="D25" s="19">
        <v>573.44000000000005</v>
      </c>
      <c r="E25" s="19" t="s">
        <v>18</v>
      </c>
      <c r="F25" s="20" t="s">
        <v>18</v>
      </c>
      <c r="G25" s="21">
        <v>219</v>
      </c>
      <c r="H25" s="21">
        <v>15</v>
      </c>
      <c r="I25" s="11">
        <f t="shared" si="1"/>
        <v>14.6</v>
      </c>
      <c r="J25" s="22">
        <v>3</v>
      </c>
      <c r="K25" s="22" t="s">
        <v>18</v>
      </c>
      <c r="L25" s="19">
        <v>72194.97</v>
      </c>
      <c r="M25" s="21">
        <v>15055</v>
      </c>
      <c r="N25" s="23">
        <v>44981</v>
      </c>
      <c r="O25" s="35" t="s">
        <v>16</v>
      </c>
    </row>
    <row r="26" spans="1:15" s="61" customFormat="1" ht="25.5" customHeight="1" x14ac:dyDescent="0.2">
      <c r="A26" s="17">
        <v>24</v>
      </c>
      <c r="B26" s="22">
        <v>22</v>
      </c>
      <c r="C26" s="25" t="s">
        <v>146</v>
      </c>
      <c r="D26" s="19">
        <v>428.6</v>
      </c>
      <c r="E26" s="19">
        <v>431.1</v>
      </c>
      <c r="F26" s="20">
        <f>(D26-E26)/E26</f>
        <v>-5.7991185339828343E-3</v>
      </c>
      <c r="G26" s="21">
        <v>72</v>
      </c>
      <c r="H26" s="21">
        <v>7</v>
      </c>
      <c r="I26" s="11">
        <f t="shared" si="1"/>
        <v>10.285714285714286</v>
      </c>
      <c r="J26" s="22">
        <v>3</v>
      </c>
      <c r="K26" s="22">
        <v>4</v>
      </c>
      <c r="L26" s="19">
        <v>7786.4199999999992</v>
      </c>
      <c r="M26" s="21">
        <v>1210</v>
      </c>
      <c r="N26" s="23">
        <v>45079</v>
      </c>
      <c r="O26" s="30" t="s">
        <v>16</v>
      </c>
    </row>
    <row r="27" spans="1:15" s="61" customFormat="1" ht="25.5" customHeight="1" x14ac:dyDescent="0.2">
      <c r="A27" s="17">
        <v>25</v>
      </c>
      <c r="B27" s="22">
        <v>18</v>
      </c>
      <c r="C27" s="25" t="s">
        <v>187</v>
      </c>
      <c r="D27" s="19">
        <v>382</v>
      </c>
      <c r="E27" s="19">
        <v>742</v>
      </c>
      <c r="F27" s="20">
        <f>(D27-E27)/E27</f>
        <v>-0.48517520215633425</v>
      </c>
      <c r="G27" s="21">
        <v>167</v>
      </c>
      <c r="H27" s="20" t="s">
        <v>18</v>
      </c>
      <c r="I27" s="20" t="s">
        <v>18</v>
      </c>
      <c r="J27" s="22">
        <v>2</v>
      </c>
      <c r="K27" s="20" t="s">
        <v>18</v>
      </c>
      <c r="L27" s="19">
        <v>44595</v>
      </c>
      <c r="M27" s="21">
        <v>9821</v>
      </c>
      <c r="N27" s="23">
        <v>44694</v>
      </c>
      <c r="O27" s="30" t="s">
        <v>15</v>
      </c>
    </row>
    <row r="28" spans="1:15" s="61" customFormat="1" ht="25.5" customHeight="1" x14ac:dyDescent="0.2">
      <c r="A28" s="17">
        <v>26</v>
      </c>
      <c r="B28" s="22">
        <v>21</v>
      </c>
      <c r="C28" s="25" t="s">
        <v>142</v>
      </c>
      <c r="D28" s="19">
        <v>322.3</v>
      </c>
      <c r="E28" s="19">
        <v>444.4</v>
      </c>
      <c r="F28" s="20">
        <f>(D28-E28)/E28</f>
        <v>-0.27475247524752466</v>
      </c>
      <c r="G28" s="21">
        <v>58</v>
      </c>
      <c r="H28" s="21">
        <v>7</v>
      </c>
      <c r="I28" s="22">
        <f t="shared" ref="I28:I45" si="2">G28/H28</f>
        <v>8.2857142857142865</v>
      </c>
      <c r="J28" s="22">
        <v>2</v>
      </c>
      <c r="K28" s="22">
        <v>6</v>
      </c>
      <c r="L28" s="19">
        <v>7546.6</v>
      </c>
      <c r="M28" s="21">
        <v>1330</v>
      </c>
      <c r="N28" s="23">
        <v>45065</v>
      </c>
      <c r="O28" s="36" t="s">
        <v>40</v>
      </c>
    </row>
    <row r="29" spans="1:15" s="61" customFormat="1" ht="25.5" customHeight="1" x14ac:dyDescent="0.2">
      <c r="A29" s="17">
        <v>27</v>
      </c>
      <c r="B29" s="22" t="s">
        <v>31</v>
      </c>
      <c r="C29" s="13" t="s">
        <v>196</v>
      </c>
      <c r="D29" s="8">
        <v>251.5</v>
      </c>
      <c r="E29" s="20" t="s">
        <v>18</v>
      </c>
      <c r="F29" s="20" t="s">
        <v>18</v>
      </c>
      <c r="G29" s="10">
        <v>37</v>
      </c>
      <c r="H29" s="10">
        <v>1</v>
      </c>
      <c r="I29" s="22">
        <f t="shared" si="2"/>
        <v>37</v>
      </c>
      <c r="J29" s="11">
        <v>1</v>
      </c>
      <c r="K29" s="11">
        <v>1</v>
      </c>
      <c r="L29" s="19">
        <v>251.5</v>
      </c>
      <c r="M29" s="21">
        <v>37</v>
      </c>
      <c r="N29" s="12">
        <v>45106</v>
      </c>
      <c r="O29" s="30" t="s">
        <v>30</v>
      </c>
    </row>
    <row r="30" spans="1:15" s="61" customFormat="1" ht="25.5" customHeight="1" x14ac:dyDescent="0.2">
      <c r="A30" s="17">
        <v>28</v>
      </c>
      <c r="B30" s="19" t="s">
        <v>18</v>
      </c>
      <c r="C30" s="13" t="s">
        <v>133</v>
      </c>
      <c r="D30" s="8">
        <v>191.42</v>
      </c>
      <c r="E30" s="19" t="s">
        <v>18</v>
      </c>
      <c r="F30" s="20" t="s">
        <v>18</v>
      </c>
      <c r="G30" s="10">
        <v>55</v>
      </c>
      <c r="H30" s="10">
        <v>1</v>
      </c>
      <c r="I30" s="22">
        <f t="shared" si="2"/>
        <v>55</v>
      </c>
      <c r="J30" s="11">
        <v>1</v>
      </c>
      <c r="K30" s="22" t="s">
        <v>18</v>
      </c>
      <c r="L30" s="19">
        <v>235665.92000000001</v>
      </c>
      <c r="M30" s="21">
        <v>51014</v>
      </c>
      <c r="N30" s="12">
        <v>44400</v>
      </c>
      <c r="O30" s="31" t="s">
        <v>40</v>
      </c>
    </row>
    <row r="31" spans="1:15" s="61" customFormat="1" ht="25.5" customHeight="1" x14ac:dyDescent="0.2">
      <c r="A31" s="17">
        <v>29</v>
      </c>
      <c r="B31" s="22">
        <v>19</v>
      </c>
      <c r="C31" s="25" t="s">
        <v>147</v>
      </c>
      <c r="D31" s="19">
        <v>167.75</v>
      </c>
      <c r="E31" s="19">
        <v>652</v>
      </c>
      <c r="F31" s="20">
        <f t="shared" ref="F31:F42" si="3">(D31-E31)/E31</f>
        <v>-0.74271472392638038</v>
      </c>
      <c r="G31" s="21">
        <v>37</v>
      </c>
      <c r="H31" s="22">
        <v>4</v>
      </c>
      <c r="I31" s="22">
        <f t="shared" si="2"/>
        <v>9.25</v>
      </c>
      <c r="J31" s="21">
        <v>2</v>
      </c>
      <c r="K31" s="22">
        <v>5</v>
      </c>
      <c r="L31" s="19">
        <v>7209.4</v>
      </c>
      <c r="M31" s="21">
        <v>1744</v>
      </c>
      <c r="N31" s="23">
        <v>45072</v>
      </c>
      <c r="O31" s="35" t="s">
        <v>30</v>
      </c>
    </row>
    <row r="32" spans="1:15" s="61" customFormat="1" ht="25.5" customHeight="1" x14ac:dyDescent="0.2">
      <c r="A32" s="17">
        <v>30</v>
      </c>
      <c r="B32" s="22">
        <v>27</v>
      </c>
      <c r="C32" s="25" t="s">
        <v>156</v>
      </c>
      <c r="D32" s="19">
        <v>129.80000000000001</v>
      </c>
      <c r="E32" s="19">
        <v>256.14999999999998</v>
      </c>
      <c r="F32" s="20">
        <f t="shared" si="3"/>
        <v>-0.4932656646496193</v>
      </c>
      <c r="G32" s="21">
        <v>27</v>
      </c>
      <c r="H32" s="21">
        <v>3</v>
      </c>
      <c r="I32" s="22">
        <f t="shared" si="2"/>
        <v>9</v>
      </c>
      <c r="J32" s="22">
        <v>1</v>
      </c>
      <c r="K32" s="20" t="s">
        <v>18</v>
      </c>
      <c r="L32" s="19">
        <v>322770.74</v>
      </c>
      <c r="M32" s="21">
        <v>68927</v>
      </c>
      <c r="N32" s="23">
        <v>44771</v>
      </c>
      <c r="O32" s="35" t="s">
        <v>14</v>
      </c>
    </row>
    <row r="33" spans="1:15" s="61" customFormat="1" ht="25.5" customHeight="1" x14ac:dyDescent="0.2">
      <c r="A33" s="17">
        <v>31</v>
      </c>
      <c r="B33" s="22">
        <v>25</v>
      </c>
      <c r="C33" s="25" t="s">
        <v>127</v>
      </c>
      <c r="D33" s="19">
        <v>122.3</v>
      </c>
      <c r="E33" s="19">
        <v>324.07</v>
      </c>
      <c r="F33" s="20">
        <f t="shared" si="3"/>
        <v>-0.62261239855586747</v>
      </c>
      <c r="G33" s="21">
        <v>23</v>
      </c>
      <c r="H33" s="21">
        <v>4</v>
      </c>
      <c r="I33" s="22">
        <f t="shared" si="2"/>
        <v>5.75</v>
      </c>
      <c r="J33" s="22">
        <v>1</v>
      </c>
      <c r="K33" s="22">
        <v>7</v>
      </c>
      <c r="L33" s="19">
        <v>30808.97</v>
      </c>
      <c r="M33" s="21">
        <v>6617</v>
      </c>
      <c r="N33" s="23">
        <v>45058</v>
      </c>
      <c r="O33" s="36" t="s">
        <v>13</v>
      </c>
    </row>
    <row r="34" spans="1:15" s="61" customFormat="1" ht="25.5" customHeight="1" x14ac:dyDescent="0.2">
      <c r="A34" s="17">
        <v>32</v>
      </c>
      <c r="B34" s="22">
        <v>45</v>
      </c>
      <c r="C34" s="25" t="s">
        <v>78</v>
      </c>
      <c r="D34" s="19">
        <v>111.2</v>
      </c>
      <c r="E34" s="19">
        <v>38.700000000000003</v>
      </c>
      <c r="F34" s="20">
        <f t="shared" si="3"/>
        <v>1.8733850129198966</v>
      </c>
      <c r="G34" s="21">
        <v>20</v>
      </c>
      <c r="H34" s="21">
        <v>2</v>
      </c>
      <c r="I34" s="22">
        <f t="shared" si="2"/>
        <v>10</v>
      </c>
      <c r="J34" s="22">
        <v>2</v>
      </c>
      <c r="K34" s="22" t="s">
        <v>18</v>
      </c>
      <c r="L34" s="19">
        <v>22056</v>
      </c>
      <c r="M34" s="21">
        <v>2647</v>
      </c>
      <c r="N34" s="23">
        <v>45012</v>
      </c>
      <c r="O34" s="36" t="s">
        <v>68</v>
      </c>
    </row>
    <row r="35" spans="1:15" s="61" customFormat="1" ht="25.5" customHeight="1" x14ac:dyDescent="0.2">
      <c r="A35" s="17">
        <v>33</v>
      </c>
      <c r="B35" s="22">
        <v>48</v>
      </c>
      <c r="C35" s="25" t="s">
        <v>80</v>
      </c>
      <c r="D35" s="19">
        <v>97</v>
      </c>
      <c r="E35" s="19">
        <v>14.8</v>
      </c>
      <c r="F35" s="20">
        <f t="shared" si="3"/>
        <v>5.5540540540540544</v>
      </c>
      <c r="G35" s="21">
        <v>17</v>
      </c>
      <c r="H35" s="22">
        <v>1</v>
      </c>
      <c r="I35" s="22">
        <f t="shared" si="2"/>
        <v>17</v>
      </c>
      <c r="J35" s="22">
        <v>1</v>
      </c>
      <c r="K35" s="22" t="s">
        <v>18</v>
      </c>
      <c r="L35" s="19">
        <v>9756</v>
      </c>
      <c r="M35" s="21">
        <v>1772</v>
      </c>
      <c r="N35" s="23">
        <v>45012</v>
      </c>
      <c r="O35" s="30" t="s">
        <v>68</v>
      </c>
    </row>
    <row r="36" spans="1:15" s="61" customFormat="1" ht="25.5" customHeight="1" x14ac:dyDescent="0.2">
      <c r="A36" s="17">
        <v>34</v>
      </c>
      <c r="B36" s="22">
        <v>47</v>
      </c>
      <c r="C36" s="25" t="s">
        <v>136</v>
      </c>
      <c r="D36" s="19">
        <v>88</v>
      </c>
      <c r="E36" s="19">
        <v>16</v>
      </c>
      <c r="F36" s="20">
        <f t="shared" si="3"/>
        <v>4.5</v>
      </c>
      <c r="G36" s="21">
        <v>17</v>
      </c>
      <c r="H36" s="22">
        <v>1</v>
      </c>
      <c r="I36" s="22">
        <f t="shared" si="2"/>
        <v>17</v>
      </c>
      <c r="J36" s="22">
        <v>1</v>
      </c>
      <c r="K36" s="22">
        <v>6</v>
      </c>
      <c r="L36" s="19">
        <v>1387</v>
      </c>
      <c r="M36" s="21">
        <v>330</v>
      </c>
      <c r="N36" s="23">
        <v>45065</v>
      </c>
      <c r="O36" s="30" t="s">
        <v>68</v>
      </c>
    </row>
    <row r="37" spans="1:15" s="27" customFormat="1" ht="25.5" customHeight="1" x14ac:dyDescent="0.15">
      <c r="A37" s="17">
        <v>35</v>
      </c>
      <c r="B37" s="22">
        <v>23</v>
      </c>
      <c r="C37" s="18" t="s">
        <v>67</v>
      </c>
      <c r="D37" s="19">
        <v>63.8</v>
      </c>
      <c r="E37" s="19">
        <v>366.4</v>
      </c>
      <c r="F37" s="20">
        <f t="shared" si="3"/>
        <v>-0.82587336244541476</v>
      </c>
      <c r="G37" s="21">
        <v>9</v>
      </c>
      <c r="H37" s="22">
        <v>1</v>
      </c>
      <c r="I37" s="22">
        <f t="shared" si="2"/>
        <v>9</v>
      </c>
      <c r="J37" s="21">
        <v>1</v>
      </c>
      <c r="K37" s="22">
        <v>14</v>
      </c>
      <c r="L37" s="19">
        <v>56130</v>
      </c>
      <c r="M37" s="21">
        <v>7461</v>
      </c>
      <c r="N37" s="23">
        <v>45012</v>
      </c>
      <c r="O37" s="30" t="s">
        <v>68</v>
      </c>
    </row>
    <row r="38" spans="1:15" s="45" customFormat="1" ht="25.5" customHeight="1" x14ac:dyDescent="0.2">
      <c r="A38" s="17">
        <v>36</v>
      </c>
      <c r="B38" s="22">
        <v>35</v>
      </c>
      <c r="C38" s="18" t="s">
        <v>58</v>
      </c>
      <c r="D38" s="19">
        <v>62.8</v>
      </c>
      <c r="E38" s="19">
        <v>132.19999999999999</v>
      </c>
      <c r="F38" s="20">
        <f t="shared" si="3"/>
        <v>-0.5249621785173979</v>
      </c>
      <c r="G38" s="21">
        <v>11</v>
      </c>
      <c r="H38" s="21">
        <v>1</v>
      </c>
      <c r="I38" s="22">
        <f t="shared" si="2"/>
        <v>11</v>
      </c>
      <c r="J38" s="22">
        <v>1</v>
      </c>
      <c r="K38" s="22">
        <v>9</v>
      </c>
      <c r="L38" s="19">
        <v>10875.570000000003</v>
      </c>
      <c r="M38" s="21">
        <v>1786</v>
      </c>
      <c r="N38" s="23">
        <v>45044</v>
      </c>
      <c r="O38" s="30" t="s">
        <v>16</v>
      </c>
    </row>
    <row r="39" spans="1:15" s="61" customFormat="1" ht="25.5" customHeight="1" x14ac:dyDescent="0.2">
      <c r="A39" s="17">
        <v>37</v>
      </c>
      <c r="B39" s="22">
        <v>26</v>
      </c>
      <c r="C39" s="18" t="s">
        <v>106</v>
      </c>
      <c r="D39" s="19">
        <v>55.6</v>
      </c>
      <c r="E39" s="19">
        <v>319.8</v>
      </c>
      <c r="F39" s="20">
        <f t="shared" si="3"/>
        <v>-0.8261413383364602</v>
      </c>
      <c r="G39" s="21">
        <v>8</v>
      </c>
      <c r="H39" s="21">
        <v>1</v>
      </c>
      <c r="I39" s="22">
        <f t="shared" si="2"/>
        <v>8</v>
      </c>
      <c r="J39" s="22">
        <v>1</v>
      </c>
      <c r="K39" s="20" t="s">
        <v>18</v>
      </c>
      <c r="L39" s="19">
        <v>40974.380000000012</v>
      </c>
      <c r="M39" s="21">
        <v>6944</v>
      </c>
      <c r="N39" s="23">
        <v>44678</v>
      </c>
      <c r="O39" s="30" t="s">
        <v>16</v>
      </c>
    </row>
    <row r="40" spans="1:15" s="61" customFormat="1" ht="25.5" customHeight="1" x14ac:dyDescent="0.2">
      <c r="A40" s="17">
        <v>38</v>
      </c>
      <c r="B40" s="22">
        <v>31</v>
      </c>
      <c r="C40" s="25" t="s">
        <v>79</v>
      </c>
      <c r="D40" s="19">
        <v>55.4</v>
      </c>
      <c r="E40" s="19">
        <v>179.60000000000002</v>
      </c>
      <c r="F40" s="20">
        <f t="shared" si="3"/>
        <v>-0.69153674832962142</v>
      </c>
      <c r="G40" s="21">
        <v>15</v>
      </c>
      <c r="H40" s="21">
        <v>1</v>
      </c>
      <c r="I40" s="22">
        <f t="shared" si="2"/>
        <v>15</v>
      </c>
      <c r="J40" s="22">
        <v>1</v>
      </c>
      <c r="K40" s="22">
        <v>14</v>
      </c>
      <c r="L40" s="19">
        <v>45823</v>
      </c>
      <c r="M40" s="21">
        <v>5390</v>
      </c>
      <c r="N40" s="23">
        <v>45012</v>
      </c>
      <c r="O40" s="35" t="s">
        <v>68</v>
      </c>
    </row>
    <row r="41" spans="1:15" s="45" customFormat="1" ht="25.5" customHeight="1" x14ac:dyDescent="0.2">
      <c r="A41" s="17">
        <v>39</v>
      </c>
      <c r="B41" s="22">
        <v>36</v>
      </c>
      <c r="C41" s="25" t="s">
        <v>43</v>
      </c>
      <c r="D41" s="19">
        <v>55.4</v>
      </c>
      <c r="E41" s="19">
        <v>122</v>
      </c>
      <c r="F41" s="20">
        <f t="shared" si="3"/>
        <v>-0.54590163934426228</v>
      </c>
      <c r="G41" s="21">
        <v>12</v>
      </c>
      <c r="H41" s="21">
        <v>1</v>
      </c>
      <c r="I41" s="22">
        <f t="shared" si="2"/>
        <v>12</v>
      </c>
      <c r="J41" s="22">
        <v>1</v>
      </c>
      <c r="K41" s="20" t="s">
        <v>18</v>
      </c>
      <c r="L41" s="19">
        <v>130044.48</v>
      </c>
      <c r="M41" s="21">
        <v>20407</v>
      </c>
      <c r="N41" s="23">
        <v>44981</v>
      </c>
      <c r="O41" s="36" t="s">
        <v>17</v>
      </c>
    </row>
    <row r="42" spans="1:15" s="45" customFormat="1" ht="25.5" customHeight="1" x14ac:dyDescent="0.2">
      <c r="A42" s="17">
        <v>40</v>
      </c>
      <c r="B42" s="22">
        <v>34</v>
      </c>
      <c r="C42" s="25" t="s">
        <v>102</v>
      </c>
      <c r="D42" s="19">
        <v>51.8</v>
      </c>
      <c r="E42" s="19">
        <v>160</v>
      </c>
      <c r="F42" s="20">
        <f t="shared" si="3"/>
        <v>-0.67625000000000002</v>
      </c>
      <c r="G42" s="21">
        <v>13</v>
      </c>
      <c r="H42" s="21">
        <v>1</v>
      </c>
      <c r="I42" s="22">
        <f t="shared" si="2"/>
        <v>13</v>
      </c>
      <c r="J42" s="22">
        <v>1</v>
      </c>
      <c r="K42" s="22">
        <v>8</v>
      </c>
      <c r="L42" s="19">
        <v>3710</v>
      </c>
      <c r="M42" s="21">
        <v>658</v>
      </c>
      <c r="N42" s="23">
        <v>45051</v>
      </c>
      <c r="O42" s="35" t="s">
        <v>68</v>
      </c>
    </row>
    <row r="43" spans="1:15" s="45" customFormat="1" ht="25.5" customHeight="1" x14ac:dyDescent="0.2">
      <c r="A43" s="17">
        <v>41</v>
      </c>
      <c r="B43" s="20" t="s">
        <v>18</v>
      </c>
      <c r="C43" s="18" t="s">
        <v>161</v>
      </c>
      <c r="D43" s="19">
        <v>48</v>
      </c>
      <c r="E43" s="20" t="s">
        <v>18</v>
      </c>
      <c r="F43" s="20" t="s">
        <v>18</v>
      </c>
      <c r="G43" s="21">
        <v>7</v>
      </c>
      <c r="H43" s="22">
        <v>1</v>
      </c>
      <c r="I43" s="22">
        <f t="shared" si="2"/>
        <v>7</v>
      </c>
      <c r="J43" s="21">
        <v>1</v>
      </c>
      <c r="K43" s="22" t="s">
        <v>18</v>
      </c>
      <c r="L43" s="19">
        <v>1005233.6900000002</v>
      </c>
      <c r="M43" s="21">
        <v>144293</v>
      </c>
      <c r="N43" s="23">
        <v>44848</v>
      </c>
      <c r="O43" s="30" t="s">
        <v>162</v>
      </c>
    </row>
    <row r="44" spans="1:15" s="45" customFormat="1" ht="25.5" customHeight="1" x14ac:dyDescent="0.2">
      <c r="A44" s="17">
        <v>42</v>
      </c>
      <c r="B44" s="22">
        <v>32</v>
      </c>
      <c r="C44" s="25" t="s">
        <v>169</v>
      </c>
      <c r="D44" s="19">
        <v>30</v>
      </c>
      <c r="E44" s="19">
        <v>174.2</v>
      </c>
      <c r="F44" s="20">
        <f>(D44-E44)/E44</f>
        <v>-0.82778415614236511</v>
      </c>
      <c r="G44" s="21">
        <v>8</v>
      </c>
      <c r="H44" s="21">
        <v>3</v>
      </c>
      <c r="I44" s="22">
        <f t="shared" si="2"/>
        <v>2.6666666666666665</v>
      </c>
      <c r="J44" s="22">
        <v>1</v>
      </c>
      <c r="K44" s="22">
        <v>3</v>
      </c>
      <c r="L44" s="19">
        <v>3874.94</v>
      </c>
      <c r="M44" s="21">
        <v>592</v>
      </c>
      <c r="N44" s="23">
        <v>45086</v>
      </c>
      <c r="O44" s="35" t="s">
        <v>170</v>
      </c>
    </row>
    <row r="45" spans="1:15" s="45" customFormat="1" ht="25.5" customHeight="1" x14ac:dyDescent="0.2">
      <c r="A45" s="17">
        <v>43</v>
      </c>
      <c r="B45" s="22">
        <v>46</v>
      </c>
      <c r="C45" s="25" t="s">
        <v>130</v>
      </c>
      <c r="D45" s="19">
        <v>29</v>
      </c>
      <c r="E45" s="19">
        <v>17.5</v>
      </c>
      <c r="F45" s="20">
        <f>(D45-E45)/E45</f>
        <v>0.65714285714285714</v>
      </c>
      <c r="G45" s="21">
        <v>5</v>
      </c>
      <c r="H45" s="21">
        <v>1</v>
      </c>
      <c r="I45" s="22">
        <f t="shared" si="2"/>
        <v>5</v>
      </c>
      <c r="J45" s="22">
        <v>1</v>
      </c>
      <c r="K45" s="20" t="s">
        <v>18</v>
      </c>
      <c r="L45" s="19">
        <v>177518</v>
      </c>
      <c r="M45" s="21">
        <v>30089</v>
      </c>
      <c r="N45" s="23">
        <v>44834</v>
      </c>
      <c r="O45" s="35" t="s">
        <v>68</v>
      </c>
    </row>
    <row r="46" spans="1:15" s="45" customFormat="1" ht="25.5" customHeight="1" x14ac:dyDescent="0.2">
      <c r="A46" s="17">
        <v>44</v>
      </c>
      <c r="B46" s="22">
        <v>44</v>
      </c>
      <c r="C46" s="25" t="s">
        <v>126</v>
      </c>
      <c r="D46" s="19">
        <v>28</v>
      </c>
      <c r="E46" s="19">
        <v>43</v>
      </c>
      <c r="F46" s="20">
        <f>(D46-E46)/E46</f>
        <v>-0.34883720930232559</v>
      </c>
      <c r="G46" s="21">
        <v>4</v>
      </c>
      <c r="H46" s="22" t="s">
        <v>18</v>
      </c>
      <c r="I46" s="22" t="s">
        <v>18</v>
      </c>
      <c r="J46" s="22">
        <v>1</v>
      </c>
      <c r="K46" s="22">
        <v>7</v>
      </c>
      <c r="L46" s="19">
        <v>9387</v>
      </c>
      <c r="M46" s="21">
        <v>1564</v>
      </c>
      <c r="N46" s="23">
        <v>45058</v>
      </c>
      <c r="O46" s="36" t="s">
        <v>15</v>
      </c>
    </row>
    <row r="47" spans="1:15" s="27" customFormat="1" ht="25.5" customHeight="1" x14ac:dyDescent="0.15">
      <c r="A47" s="17">
        <v>45</v>
      </c>
      <c r="B47" s="19" t="s">
        <v>18</v>
      </c>
      <c r="C47" s="25" t="s">
        <v>197</v>
      </c>
      <c r="D47" s="19">
        <v>19.5</v>
      </c>
      <c r="E47" s="19" t="s">
        <v>18</v>
      </c>
      <c r="F47" s="20" t="s">
        <v>18</v>
      </c>
      <c r="G47" s="21">
        <v>5</v>
      </c>
      <c r="H47" s="21">
        <v>2</v>
      </c>
      <c r="I47" s="22">
        <f>G47/H47</f>
        <v>2.5</v>
      </c>
      <c r="J47" s="22">
        <v>1</v>
      </c>
      <c r="K47" s="22" t="s">
        <v>18</v>
      </c>
      <c r="L47" s="19">
        <v>44718.289999999986</v>
      </c>
      <c r="M47" s="21">
        <v>7300</v>
      </c>
      <c r="N47" s="12">
        <v>44932</v>
      </c>
      <c r="O47" s="62" t="s">
        <v>16</v>
      </c>
    </row>
    <row r="48" spans="1:15" s="45" customFormat="1" ht="25.5" customHeight="1" x14ac:dyDescent="0.2">
      <c r="A48" s="41"/>
      <c r="B48" s="67" t="s">
        <v>85</v>
      </c>
      <c r="C48" s="46" t="s">
        <v>201</v>
      </c>
      <c r="D48" s="47">
        <f>SUBTOTAL(109,Table132458791011[Pajamos 
(GBO)])</f>
        <v>238949.16000000003</v>
      </c>
      <c r="E48" s="47" t="s">
        <v>194</v>
      </c>
      <c r="F48" s="42">
        <f>(D48-E48)/E48</f>
        <v>-0.34650315741685278</v>
      </c>
      <c r="G48" s="43">
        <f>SUBTOTAL(109,Table132458791011[Žiūrovų sk. 
(ADM)])</f>
        <v>42185</v>
      </c>
      <c r="H48" s="55"/>
      <c r="I48" s="46"/>
      <c r="J48" s="51"/>
      <c r="K48" s="46"/>
      <c r="L48" s="53"/>
      <c r="M48" s="55"/>
      <c r="N48" s="60"/>
      <c r="O48" s="46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46C47-C9D1-47AA-832A-8EE1DC4C76FD}">
  <sheetPr>
    <pageSetUpPr fitToPage="1"/>
  </sheetPr>
  <dimension ref="A1:XFC51"/>
  <sheetViews>
    <sheetView topLeftCell="A19" zoomScale="60" zoomScaleNormal="60" workbookViewId="0">
      <selection activeCell="C43" sqref="C43:O43"/>
    </sheetView>
  </sheetViews>
  <sheetFormatPr defaultColWidth="0" defaultRowHeight="11.25" zeroHeight="1" x14ac:dyDescent="0.15"/>
  <cols>
    <col min="1" max="1" width="4.7109375" style="66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8" width="20.7109375" style="56" customWidth="1"/>
    <col min="9" max="9" width="20.7109375" style="1" customWidth="1"/>
    <col min="10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184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4" t="s">
        <v>4</v>
      </c>
      <c r="I2" s="15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5" customHeight="1" x14ac:dyDescent="0.2">
      <c r="A3" s="17">
        <v>1</v>
      </c>
      <c r="B3" s="22" t="s">
        <v>31</v>
      </c>
      <c r="C3" s="25" t="s">
        <v>181</v>
      </c>
      <c r="D3" s="19">
        <v>117174.14</v>
      </c>
      <c r="E3" s="20" t="s">
        <v>18</v>
      </c>
      <c r="F3" s="20" t="s">
        <v>18</v>
      </c>
      <c r="G3" s="21">
        <v>23680</v>
      </c>
      <c r="H3" s="21">
        <v>481</v>
      </c>
      <c r="I3" s="22">
        <f>G3/H3</f>
        <v>49.230769230769234</v>
      </c>
      <c r="J3" s="22">
        <v>29</v>
      </c>
      <c r="K3" s="22">
        <v>1</v>
      </c>
      <c r="L3" s="19">
        <v>122300.87</v>
      </c>
      <c r="M3" s="21">
        <v>24773</v>
      </c>
      <c r="N3" s="23">
        <v>45093</v>
      </c>
      <c r="O3" s="30" t="s">
        <v>40</v>
      </c>
    </row>
    <row r="4" spans="1:18" s="24" customFormat="1" ht="25.9" customHeight="1" x14ac:dyDescent="0.2">
      <c r="A4" s="17">
        <v>2</v>
      </c>
      <c r="B4" s="22">
        <v>1</v>
      </c>
      <c r="C4" s="25" t="s">
        <v>151</v>
      </c>
      <c r="D4" s="19">
        <v>58990.720000000001</v>
      </c>
      <c r="E4" s="19">
        <v>69638.83</v>
      </c>
      <c r="F4" s="20">
        <f>(D4-E4)/E4</f>
        <v>-0.15290478027847396</v>
      </c>
      <c r="G4" s="21">
        <v>10332</v>
      </c>
      <c r="H4" s="21">
        <v>228</v>
      </c>
      <c r="I4" s="22">
        <f t="shared" ref="I4:I14" si="0">G4/H4</f>
        <v>45.315789473684212</v>
      </c>
      <c r="J4" s="22">
        <v>17</v>
      </c>
      <c r="K4" s="22">
        <v>3</v>
      </c>
      <c r="L4" s="19">
        <v>230301.01</v>
      </c>
      <c r="M4" s="21">
        <v>38488</v>
      </c>
      <c r="N4" s="23">
        <v>45079</v>
      </c>
      <c r="O4" s="36" t="s">
        <v>12</v>
      </c>
    </row>
    <row r="5" spans="1:18" s="24" customFormat="1" ht="25.9" customHeight="1" x14ac:dyDescent="0.2">
      <c r="A5" s="17">
        <v>3</v>
      </c>
      <c r="B5" s="22">
        <v>2</v>
      </c>
      <c r="C5" s="25" t="s">
        <v>173</v>
      </c>
      <c r="D5" s="19">
        <v>39268.050000000003</v>
      </c>
      <c r="E5" s="19">
        <v>64280.99</v>
      </c>
      <c r="F5" s="20">
        <f>(D5-E5)/E5</f>
        <v>-0.38911877368410158</v>
      </c>
      <c r="G5" s="21">
        <v>6625</v>
      </c>
      <c r="H5" s="21">
        <v>198</v>
      </c>
      <c r="I5" s="22">
        <f t="shared" si="0"/>
        <v>33.459595959595958</v>
      </c>
      <c r="J5" s="22">
        <v>20</v>
      </c>
      <c r="K5" s="22">
        <v>2</v>
      </c>
      <c r="L5" s="19">
        <v>108482.93</v>
      </c>
      <c r="M5" s="21">
        <v>16293</v>
      </c>
      <c r="N5" s="23">
        <v>45086</v>
      </c>
      <c r="O5" s="30" t="s">
        <v>180</v>
      </c>
      <c r="R5" s="17"/>
    </row>
    <row r="6" spans="1:18" s="24" customFormat="1" ht="25.9" customHeight="1" x14ac:dyDescent="0.2">
      <c r="A6" s="17">
        <v>4</v>
      </c>
      <c r="B6" s="22" t="s">
        <v>31</v>
      </c>
      <c r="C6" s="25" t="s">
        <v>178</v>
      </c>
      <c r="D6" s="19">
        <v>35216.730000000003</v>
      </c>
      <c r="E6" s="20" t="s">
        <v>18</v>
      </c>
      <c r="F6" s="20" t="s">
        <v>18</v>
      </c>
      <c r="G6" s="21">
        <v>5365</v>
      </c>
      <c r="H6" s="21">
        <v>243</v>
      </c>
      <c r="I6" s="22">
        <f t="shared" si="0"/>
        <v>22.078189300411523</v>
      </c>
      <c r="J6" s="22">
        <v>15</v>
      </c>
      <c r="K6" s="22">
        <v>1</v>
      </c>
      <c r="L6" s="19">
        <v>41393.07</v>
      </c>
      <c r="M6" s="21">
        <v>6322</v>
      </c>
      <c r="N6" s="23">
        <v>45093</v>
      </c>
      <c r="O6" s="35" t="s">
        <v>14</v>
      </c>
      <c r="R6" s="17"/>
    </row>
    <row r="7" spans="1:18" s="24" customFormat="1" ht="25.9" customHeight="1" x14ac:dyDescent="0.2">
      <c r="A7" s="17">
        <v>5</v>
      </c>
      <c r="B7" s="22">
        <v>3</v>
      </c>
      <c r="C7" s="25" t="s">
        <v>132</v>
      </c>
      <c r="D7" s="19">
        <v>21150.16</v>
      </c>
      <c r="E7" s="19">
        <v>21345.599999999999</v>
      </c>
      <c r="F7" s="20">
        <f>(D7-E7)/E7</f>
        <v>-9.1559853084475819E-3</v>
      </c>
      <c r="G7" s="21">
        <v>3639</v>
      </c>
      <c r="H7" s="21">
        <v>104</v>
      </c>
      <c r="I7" s="22">
        <f t="shared" si="0"/>
        <v>34.990384615384613</v>
      </c>
      <c r="J7" s="22">
        <v>9</v>
      </c>
      <c r="K7" s="22">
        <v>5</v>
      </c>
      <c r="L7" s="19">
        <v>329724.03999999998</v>
      </c>
      <c r="M7" s="21">
        <v>45716</v>
      </c>
      <c r="N7" s="23">
        <v>45065</v>
      </c>
      <c r="O7" s="30" t="s">
        <v>179</v>
      </c>
      <c r="R7" s="17"/>
    </row>
    <row r="8" spans="1:18" s="24" customFormat="1" ht="25.9" customHeight="1" x14ac:dyDescent="0.2">
      <c r="A8" s="17">
        <v>6</v>
      </c>
      <c r="B8" s="22">
        <v>7</v>
      </c>
      <c r="C8" s="25" t="s">
        <v>171</v>
      </c>
      <c r="D8" s="19">
        <v>15951.73</v>
      </c>
      <c r="E8" s="19">
        <v>13676.82</v>
      </c>
      <c r="F8" s="20">
        <f>(D8-E8)/E8</f>
        <v>0.16633325582993708</v>
      </c>
      <c r="G8" s="21">
        <v>2755</v>
      </c>
      <c r="H8" s="21">
        <v>57</v>
      </c>
      <c r="I8" s="22">
        <f t="shared" si="0"/>
        <v>48.333333333333336</v>
      </c>
      <c r="J8" s="22">
        <v>8</v>
      </c>
      <c r="K8" s="22">
        <v>3</v>
      </c>
      <c r="L8" s="19">
        <v>52320.42</v>
      </c>
      <c r="M8" s="21">
        <v>8380</v>
      </c>
      <c r="N8" s="23">
        <v>45079</v>
      </c>
      <c r="O8" s="30" t="s">
        <v>40</v>
      </c>
      <c r="R8" s="17"/>
    </row>
    <row r="9" spans="1:18" s="24" customFormat="1" ht="25.5" customHeight="1" x14ac:dyDescent="0.2">
      <c r="A9" s="17">
        <v>7</v>
      </c>
      <c r="B9" s="22">
        <v>4</v>
      </c>
      <c r="C9" s="25" t="s">
        <v>174</v>
      </c>
      <c r="D9" s="19">
        <v>13408.55</v>
      </c>
      <c r="E9" s="19">
        <v>20199.78</v>
      </c>
      <c r="F9" s="20">
        <f>(D9-E9)/E9</f>
        <v>-0.33620316656914084</v>
      </c>
      <c r="G9" s="21">
        <v>2288</v>
      </c>
      <c r="H9" s="21">
        <v>84</v>
      </c>
      <c r="I9" s="22">
        <f t="shared" si="0"/>
        <v>27.238095238095237</v>
      </c>
      <c r="J9" s="22">
        <v>9</v>
      </c>
      <c r="K9" s="22">
        <v>2</v>
      </c>
      <c r="L9" s="19">
        <v>34434</v>
      </c>
      <c r="M9" s="21">
        <v>5612</v>
      </c>
      <c r="N9" s="23">
        <v>45086</v>
      </c>
      <c r="O9" s="30" t="s">
        <v>179</v>
      </c>
      <c r="R9" s="17"/>
    </row>
    <row r="10" spans="1:18" s="24" customFormat="1" ht="25.9" customHeight="1" x14ac:dyDescent="0.2">
      <c r="A10" s="17">
        <v>8</v>
      </c>
      <c r="B10" s="22">
        <v>5</v>
      </c>
      <c r="C10" s="18" t="s">
        <v>143</v>
      </c>
      <c r="D10" s="19">
        <v>13119.73</v>
      </c>
      <c r="E10" s="19">
        <v>15824.64</v>
      </c>
      <c r="F10" s="20">
        <f>(D10-E10)/E10</f>
        <v>-0.17093027076761302</v>
      </c>
      <c r="G10" s="21">
        <v>2514</v>
      </c>
      <c r="H10" s="21">
        <v>81</v>
      </c>
      <c r="I10" s="22">
        <f t="shared" si="0"/>
        <v>31.037037037037038</v>
      </c>
      <c r="J10" s="22">
        <v>11</v>
      </c>
      <c r="K10" s="22">
        <v>4</v>
      </c>
      <c r="L10" s="19">
        <v>75927.009999999995</v>
      </c>
      <c r="M10" s="21">
        <v>14387</v>
      </c>
      <c r="N10" s="23">
        <v>45072</v>
      </c>
      <c r="O10" s="30" t="s">
        <v>40</v>
      </c>
      <c r="R10" s="17"/>
    </row>
    <row r="11" spans="1:18" s="24" customFormat="1" ht="25.9" customHeight="1" x14ac:dyDescent="0.2">
      <c r="A11" s="17">
        <v>9</v>
      </c>
      <c r="B11" s="22">
        <v>6</v>
      </c>
      <c r="C11" s="18" t="s">
        <v>11</v>
      </c>
      <c r="D11" s="19">
        <v>11579.13</v>
      </c>
      <c r="E11" s="19">
        <v>15234.5</v>
      </c>
      <c r="F11" s="20">
        <f>(D11-E11)/E11</f>
        <v>-0.23994026715678235</v>
      </c>
      <c r="G11" s="21">
        <v>2396</v>
      </c>
      <c r="H11" s="21">
        <v>93</v>
      </c>
      <c r="I11" s="22">
        <f t="shared" si="0"/>
        <v>25.763440860215052</v>
      </c>
      <c r="J11" s="22">
        <v>9</v>
      </c>
      <c r="K11" s="22">
        <v>11</v>
      </c>
      <c r="L11" s="19">
        <v>570707.99</v>
      </c>
      <c r="M11" s="21">
        <v>104679</v>
      </c>
      <c r="N11" s="23">
        <v>45023</v>
      </c>
      <c r="O11" s="30" t="s">
        <v>179</v>
      </c>
      <c r="R11" s="17"/>
    </row>
    <row r="12" spans="1:18" s="24" customFormat="1" ht="25.9" customHeight="1" x14ac:dyDescent="0.2">
      <c r="A12" s="17">
        <v>10</v>
      </c>
      <c r="B12" s="22" t="s">
        <v>57</v>
      </c>
      <c r="C12" s="13" t="s">
        <v>188</v>
      </c>
      <c r="D12" s="8">
        <v>9692.57</v>
      </c>
      <c r="E12" s="20" t="s">
        <v>18</v>
      </c>
      <c r="F12" s="20" t="s">
        <v>18</v>
      </c>
      <c r="G12" s="10">
        <v>1088</v>
      </c>
      <c r="H12" s="10">
        <v>9</v>
      </c>
      <c r="I12" s="22">
        <f t="shared" si="0"/>
        <v>120.88888888888889</v>
      </c>
      <c r="J12" s="11">
        <v>8</v>
      </c>
      <c r="K12" s="11">
        <v>0</v>
      </c>
      <c r="L12" s="19">
        <v>9692.57</v>
      </c>
      <c r="M12" s="21">
        <v>1088</v>
      </c>
      <c r="N12" s="12" t="s">
        <v>59</v>
      </c>
      <c r="O12" s="62" t="s">
        <v>12</v>
      </c>
      <c r="R12" s="17"/>
    </row>
    <row r="13" spans="1:18" s="24" customFormat="1" ht="25.9" customHeight="1" x14ac:dyDescent="0.2">
      <c r="A13" s="17">
        <v>11</v>
      </c>
      <c r="B13" s="22">
        <v>8</v>
      </c>
      <c r="C13" s="25" t="s">
        <v>97</v>
      </c>
      <c r="D13" s="19">
        <v>9185.2000000000007</v>
      </c>
      <c r="E13" s="19">
        <v>9988.76</v>
      </c>
      <c r="F13" s="20">
        <f>(D13-E13)/E13</f>
        <v>-8.0446421778078508E-2</v>
      </c>
      <c r="G13" s="21">
        <v>1602</v>
      </c>
      <c r="H13" s="21">
        <v>52</v>
      </c>
      <c r="I13" s="22">
        <f t="shared" si="0"/>
        <v>30.807692307692307</v>
      </c>
      <c r="J13" s="22">
        <v>4</v>
      </c>
      <c r="K13" s="22">
        <v>7</v>
      </c>
      <c r="L13" s="19">
        <v>272391.5</v>
      </c>
      <c r="M13" s="21">
        <v>38448</v>
      </c>
      <c r="N13" s="23">
        <v>45051</v>
      </c>
      <c r="O13" s="36" t="s">
        <v>40</v>
      </c>
      <c r="R13" s="17"/>
    </row>
    <row r="14" spans="1:18" s="24" customFormat="1" ht="25.9" customHeight="1" x14ac:dyDescent="0.2">
      <c r="A14" s="17">
        <v>12</v>
      </c>
      <c r="B14" s="11" t="s">
        <v>31</v>
      </c>
      <c r="C14" s="25" t="s">
        <v>189</v>
      </c>
      <c r="D14" s="19">
        <v>7983.8</v>
      </c>
      <c r="E14" s="19" t="s">
        <v>18</v>
      </c>
      <c r="F14" s="20" t="s">
        <v>18</v>
      </c>
      <c r="G14" s="21">
        <v>1477</v>
      </c>
      <c r="H14" s="22">
        <v>99</v>
      </c>
      <c r="I14" s="22">
        <f t="shared" si="0"/>
        <v>14.919191919191919</v>
      </c>
      <c r="J14" s="21">
        <v>16</v>
      </c>
      <c r="K14" s="22">
        <v>1</v>
      </c>
      <c r="L14" s="19">
        <v>7983.8</v>
      </c>
      <c r="M14" s="21">
        <v>1477</v>
      </c>
      <c r="N14" s="23">
        <v>45093</v>
      </c>
      <c r="O14" s="30" t="s">
        <v>13</v>
      </c>
      <c r="R14" s="17"/>
    </row>
    <row r="15" spans="1:18" s="24" customFormat="1" ht="25.9" customHeight="1" x14ac:dyDescent="0.2">
      <c r="A15" s="17">
        <v>13</v>
      </c>
      <c r="B15" s="20" t="s">
        <v>18</v>
      </c>
      <c r="C15" s="13" t="s">
        <v>186</v>
      </c>
      <c r="D15" s="8">
        <v>1902</v>
      </c>
      <c r="E15" s="20" t="s">
        <v>18</v>
      </c>
      <c r="F15" s="20" t="s">
        <v>18</v>
      </c>
      <c r="G15" s="10">
        <v>847</v>
      </c>
      <c r="H15" s="20" t="s">
        <v>18</v>
      </c>
      <c r="I15" s="20" t="s">
        <v>18</v>
      </c>
      <c r="J15" s="11">
        <v>2</v>
      </c>
      <c r="K15" s="20" t="s">
        <v>18</v>
      </c>
      <c r="L15" s="19">
        <v>42733</v>
      </c>
      <c r="M15" s="21">
        <v>9432</v>
      </c>
      <c r="N15" s="12">
        <v>44680</v>
      </c>
      <c r="O15" s="30" t="s">
        <v>15</v>
      </c>
      <c r="R15" s="17"/>
    </row>
    <row r="16" spans="1:18" s="24" customFormat="1" ht="25.9" customHeight="1" x14ac:dyDescent="0.2">
      <c r="A16" s="17">
        <v>14</v>
      </c>
      <c r="B16" s="22">
        <v>12</v>
      </c>
      <c r="C16" s="18" t="s">
        <v>50</v>
      </c>
      <c r="D16" s="19">
        <v>1874.1</v>
      </c>
      <c r="E16" s="19">
        <v>3447.59</v>
      </c>
      <c r="F16" s="20">
        <f>(D16-E16)/E16</f>
        <v>-0.45640287853254019</v>
      </c>
      <c r="G16" s="21">
        <v>429</v>
      </c>
      <c r="H16" s="21">
        <v>30</v>
      </c>
      <c r="I16" s="22">
        <f>G16/H16</f>
        <v>14.3</v>
      </c>
      <c r="J16" s="22">
        <v>6</v>
      </c>
      <c r="K16" s="22">
        <v>9</v>
      </c>
      <c r="L16" s="19">
        <v>244933.1</v>
      </c>
      <c r="M16" s="21">
        <v>48777</v>
      </c>
      <c r="N16" s="23">
        <v>45037</v>
      </c>
      <c r="O16" s="30" t="s">
        <v>51</v>
      </c>
      <c r="R16" s="17"/>
    </row>
    <row r="17" spans="1:18" s="24" customFormat="1" ht="25.9" customHeight="1" x14ac:dyDescent="0.2">
      <c r="A17" s="17">
        <v>15</v>
      </c>
      <c r="B17" s="22">
        <v>28</v>
      </c>
      <c r="C17" s="25" t="s">
        <v>36</v>
      </c>
      <c r="D17" s="19">
        <v>1037.7</v>
      </c>
      <c r="E17" s="19">
        <v>421.5</v>
      </c>
      <c r="F17" s="20">
        <f>(D17-E17)/E17</f>
        <v>1.4619217081850535</v>
      </c>
      <c r="G17" s="21">
        <v>162</v>
      </c>
      <c r="H17" s="21">
        <v>14</v>
      </c>
      <c r="I17" s="22">
        <f t="shared" ref="I17:I19" si="1">G17/H17</f>
        <v>11.571428571428571</v>
      </c>
      <c r="J17" s="22">
        <v>2</v>
      </c>
      <c r="K17" s="22">
        <v>16</v>
      </c>
      <c r="L17" s="19">
        <v>236080.33000000005</v>
      </c>
      <c r="M17" s="21">
        <v>36973</v>
      </c>
      <c r="N17" s="23">
        <v>44988</v>
      </c>
      <c r="O17" s="36" t="s">
        <v>39</v>
      </c>
      <c r="R17" s="17"/>
    </row>
    <row r="18" spans="1:18" s="27" customFormat="1" ht="25.9" customHeight="1" x14ac:dyDescent="0.15">
      <c r="A18" s="17">
        <v>16</v>
      </c>
      <c r="B18" s="20" t="s">
        <v>18</v>
      </c>
      <c r="C18" s="25" t="s">
        <v>190</v>
      </c>
      <c r="D18" s="19">
        <v>751.2</v>
      </c>
      <c r="E18" s="19" t="s">
        <v>18</v>
      </c>
      <c r="F18" s="20" t="s">
        <v>18</v>
      </c>
      <c r="G18" s="21">
        <v>333</v>
      </c>
      <c r="H18" s="22">
        <v>15</v>
      </c>
      <c r="I18" s="22">
        <f t="shared" si="1"/>
        <v>22.2</v>
      </c>
      <c r="J18" s="21">
        <v>2</v>
      </c>
      <c r="K18" s="20" t="s">
        <v>18</v>
      </c>
      <c r="L18" s="19">
        <v>101287.83</v>
      </c>
      <c r="M18" s="21">
        <v>21354</v>
      </c>
      <c r="N18" s="23">
        <v>44603</v>
      </c>
      <c r="O18" s="30" t="s">
        <v>13</v>
      </c>
    </row>
    <row r="19" spans="1:18" s="27" customFormat="1" ht="25.9" customHeight="1" x14ac:dyDescent="0.15">
      <c r="A19" s="17">
        <v>17</v>
      </c>
      <c r="B19" s="22">
        <v>13</v>
      </c>
      <c r="C19" s="18" t="s">
        <v>90</v>
      </c>
      <c r="D19" s="19">
        <v>748.49</v>
      </c>
      <c r="E19" s="19">
        <v>3037.09</v>
      </c>
      <c r="F19" s="20">
        <f>(D19-E19)/E19</f>
        <v>-0.75355027345254844</v>
      </c>
      <c r="G19" s="21">
        <v>190</v>
      </c>
      <c r="H19" s="21">
        <v>15</v>
      </c>
      <c r="I19" s="22">
        <f t="shared" si="1"/>
        <v>12.666666666666666</v>
      </c>
      <c r="J19" s="22">
        <v>3</v>
      </c>
      <c r="K19" s="22">
        <v>8</v>
      </c>
      <c r="L19" s="19">
        <v>42844.169999999991</v>
      </c>
      <c r="M19" s="21">
        <v>8626</v>
      </c>
      <c r="N19" s="23">
        <v>45044</v>
      </c>
      <c r="O19" s="30" t="s">
        <v>16</v>
      </c>
    </row>
    <row r="20" spans="1:18" s="27" customFormat="1" ht="25.9" customHeight="1" x14ac:dyDescent="0.15">
      <c r="A20" s="17">
        <v>18</v>
      </c>
      <c r="B20" s="20" t="s">
        <v>18</v>
      </c>
      <c r="C20" s="13" t="s">
        <v>187</v>
      </c>
      <c r="D20" s="8">
        <v>742</v>
      </c>
      <c r="E20" s="20" t="s">
        <v>18</v>
      </c>
      <c r="F20" s="20" t="s">
        <v>18</v>
      </c>
      <c r="G20" s="10">
        <v>336</v>
      </c>
      <c r="H20" s="20" t="s">
        <v>18</v>
      </c>
      <c r="I20" s="20" t="s">
        <v>18</v>
      </c>
      <c r="J20" s="11">
        <v>2</v>
      </c>
      <c r="K20" s="20" t="s">
        <v>18</v>
      </c>
      <c r="L20" s="19">
        <v>44213</v>
      </c>
      <c r="M20" s="21">
        <v>9654</v>
      </c>
      <c r="N20" s="12">
        <v>44694</v>
      </c>
      <c r="O20" s="30" t="s">
        <v>15</v>
      </c>
    </row>
    <row r="21" spans="1:18" s="27" customFormat="1" ht="25.9" customHeight="1" x14ac:dyDescent="0.15">
      <c r="A21" s="17">
        <v>19</v>
      </c>
      <c r="B21" s="22">
        <v>15</v>
      </c>
      <c r="C21" s="25" t="s">
        <v>147</v>
      </c>
      <c r="D21" s="19">
        <v>652</v>
      </c>
      <c r="E21" s="19">
        <v>1933.38</v>
      </c>
      <c r="F21" s="20">
        <f>(D21-E21)/E21</f>
        <v>-0.66276676080232544</v>
      </c>
      <c r="G21" s="21">
        <v>154</v>
      </c>
      <c r="H21" s="22">
        <v>13</v>
      </c>
      <c r="I21" s="22">
        <f>G21/H21</f>
        <v>11.846153846153847</v>
      </c>
      <c r="J21" s="21">
        <v>3</v>
      </c>
      <c r="K21" s="22">
        <v>4</v>
      </c>
      <c r="L21" s="19">
        <v>6981.65</v>
      </c>
      <c r="M21" s="21">
        <v>1681</v>
      </c>
      <c r="N21" s="23">
        <v>45072</v>
      </c>
      <c r="O21" s="35" t="s">
        <v>30</v>
      </c>
    </row>
    <row r="22" spans="1:18" s="27" customFormat="1" ht="25.9" customHeight="1" x14ac:dyDescent="0.15">
      <c r="A22" s="17">
        <v>20</v>
      </c>
      <c r="B22" s="20" t="s">
        <v>18</v>
      </c>
      <c r="C22" s="25" t="s">
        <v>191</v>
      </c>
      <c r="D22" s="19">
        <v>528.5</v>
      </c>
      <c r="E22" s="19" t="s">
        <v>18</v>
      </c>
      <c r="F22" s="20" t="s">
        <v>18</v>
      </c>
      <c r="G22" s="21">
        <v>205</v>
      </c>
      <c r="H22" s="22">
        <v>12</v>
      </c>
      <c r="I22" s="22">
        <f t="shared" ref="I22:I36" si="2">G22/H22</f>
        <v>17.083333333333332</v>
      </c>
      <c r="J22" s="21">
        <v>2</v>
      </c>
      <c r="K22" s="20" t="s">
        <v>18</v>
      </c>
      <c r="L22" s="19">
        <v>17558.900000000001</v>
      </c>
      <c r="M22" s="21">
        <v>3710</v>
      </c>
      <c r="N22" s="23">
        <v>44645</v>
      </c>
      <c r="O22" s="30" t="s">
        <v>13</v>
      </c>
    </row>
    <row r="23" spans="1:18" s="27" customFormat="1" ht="25.5" customHeight="1" x14ac:dyDescent="0.15">
      <c r="A23" s="17">
        <v>21</v>
      </c>
      <c r="B23" s="22">
        <v>19</v>
      </c>
      <c r="C23" s="25" t="s">
        <v>142</v>
      </c>
      <c r="D23" s="19">
        <v>444.4</v>
      </c>
      <c r="E23" s="19">
        <v>1103.55</v>
      </c>
      <c r="F23" s="20">
        <f t="shared" ref="F23:F30" si="3">(D23-E23)/E23</f>
        <v>-0.59729962394091796</v>
      </c>
      <c r="G23" s="21">
        <v>74</v>
      </c>
      <c r="H23" s="21">
        <v>9</v>
      </c>
      <c r="I23" s="22">
        <f t="shared" si="2"/>
        <v>8.2222222222222214</v>
      </c>
      <c r="J23" s="22">
        <v>2</v>
      </c>
      <c r="K23" s="22">
        <v>5</v>
      </c>
      <c r="L23" s="19">
        <v>7224.3</v>
      </c>
      <c r="M23" s="21">
        <v>1272</v>
      </c>
      <c r="N23" s="23">
        <v>45065</v>
      </c>
      <c r="O23" s="36" t="s">
        <v>40</v>
      </c>
    </row>
    <row r="24" spans="1:18" s="61" customFormat="1" ht="25.9" customHeight="1" x14ac:dyDescent="0.2">
      <c r="A24" s="17">
        <v>22</v>
      </c>
      <c r="B24" s="22">
        <v>18</v>
      </c>
      <c r="C24" s="25" t="s">
        <v>146</v>
      </c>
      <c r="D24" s="19">
        <v>431.1</v>
      </c>
      <c r="E24" s="19">
        <v>1157.4000000000001</v>
      </c>
      <c r="F24" s="20">
        <f t="shared" si="3"/>
        <v>-0.6275272161741835</v>
      </c>
      <c r="G24" s="21">
        <v>62</v>
      </c>
      <c r="H24" s="21">
        <v>6</v>
      </c>
      <c r="I24" s="22">
        <f t="shared" si="2"/>
        <v>10.333333333333334</v>
      </c>
      <c r="J24" s="22">
        <v>2</v>
      </c>
      <c r="K24" s="22">
        <v>3</v>
      </c>
      <c r="L24" s="19">
        <v>7357.82</v>
      </c>
      <c r="M24" s="21">
        <v>1138</v>
      </c>
      <c r="N24" s="23">
        <v>45079</v>
      </c>
      <c r="O24" s="30" t="s">
        <v>16</v>
      </c>
    </row>
    <row r="25" spans="1:18" s="61" customFormat="1" ht="25.9" customHeight="1" x14ac:dyDescent="0.2">
      <c r="A25" s="17">
        <v>23</v>
      </c>
      <c r="B25" s="22">
        <v>37</v>
      </c>
      <c r="C25" s="18" t="s">
        <v>67</v>
      </c>
      <c r="D25" s="19">
        <v>366.4</v>
      </c>
      <c r="E25" s="19">
        <v>140.4</v>
      </c>
      <c r="F25" s="20">
        <f t="shared" si="3"/>
        <v>1.6096866096866094</v>
      </c>
      <c r="G25" s="21">
        <v>60</v>
      </c>
      <c r="H25" s="21">
        <v>2</v>
      </c>
      <c r="I25" s="22">
        <f t="shared" si="2"/>
        <v>30</v>
      </c>
      <c r="J25" s="22">
        <v>2</v>
      </c>
      <c r="K25" s="22">
        <v>13</v>
      </c>
      <c r="L25" s="19">
        <v>56066</v>
      </c>
      <c r="M25" s="21">
        <v>7452</v>
      </c>
      <c r="N25" s="23">
        <v>45012</v>
      </c>
      <c r="O25" s="30" t="s">
        <v>68</v>
      </c>
    </row>
    <row r="26" spans="1:18" s="61" customFormat="1" ht="25.5" customHeight="1" x14ac:dyDescent="0.2">
      <c r="A26" s="17">
        <v>24</v>
      </c>
      <c r="B26" s="22">
        <v>29</v>
      </c>
      <c r="C26" s="25" t="s">
        <v>66</v>
      </c>
      <c r="D26" s="28">
        <v>337.7</v>
      </c>
      <c r="E26" s="28">
        <v>264.3</v>
      </c>
      <c r="F26" s="20">
        <f t="shared" si="3"/>
        <v>0.27771471812334458</v>
      </c>
      <c r="G26" s="21">
        <v>69</v>
      </c>
      <c r="H26" s="21">
        <v>2</v>
      </c>
      <c r="I26" s="22">
        <f t="shared" si="2"/>
        <v>34.5</v>
      </c>
      <c r="J26" s="22">
        <v>2</v>
      </c>
      <c r="K26" s="22">
        <v>8</v>
      </c>
      <c r="L26" s="19">
        <v>16339.87</v>
      </c>
      <c r="M26" s="21">
        <v>2611</v>
      </c>
      <c r="N26" s="23">
        <v>45047</v>
      </c>
      <c r="O26" s="30" t="s">
        <v>179</v>
      </c>
    </row>
    <row r="27" spans="1:18" s="61" customFormat="1" ht="25.5" customHeight="1" x14ac:dyDescent="0.2">
      <c r="A27" s="17">
        <v>25</v>
      </c>
      <c r="B27" s="22">
        <v>14</v>
      </c>
      <c r="C27" s="25" t="s">
        <v>127</v>
      </c>
      <c r="D27" s="19">
        <v>324.07</v>
      </c>
      <c r="E27" s="19">
        <v>2118.87</v>
      </c>
      <c r="F27" s="20">
        <f t="shared" si="3"/>
        <v>-0.84705527002600445</v>
      </c>
      <c r="G27" s="21">
        <v>83</v>
      </c>
      <c r="H27" s="21">
        <v>12</v>
      </c>
      <c r="I27" s="22">
        <f t="shared" si="2"/>
        <v>6.916666666666667</v>
      </c>
      <c r="J27" s="22">
        <v>3</v>
      </c>
      <c r="K27" s="22">
        <v>6</v>
      </c>
      <c r="L27" s="19">
        <v>30686.67</v>
      </c>
      <c r="M27" s="21">
        <v>6594</v>
      </c>
      <c r="N27" s="23">
        <v>45058</v>
      </c>
      <c r="O27" s="36" t="s">
        <v>13</v>
      </c>
    </row>
    <row r="28" spans="1:18" s="61" customFormat="1" ht="25.5" customHeight="1" x14ac:dyDescent="0.2">
      <c r="A28" s="17">
        <v>26</v>
      </c>
      <c r="B28" s="22">
        <v>38</v>
      </c>
      <c r="C28" s="18" t="s">
        <v>106</v>
      </c>
      <c r="D28" s="19">
        <v>319.8</v>
      </c>
      <c r="E28" s="19">
        <v>60.9</v>
      </c>
      <c r="F28" s="20">
        <f t="shared" si="3"/>
        <v>4.251231527093597</v>
      </c>
      <c r="G28" s="21">
        <v>48</v>
      </c>
      <c r="H28" s="21">
        <v>2</v>
      </c>
      <c r="I28" s="22">
        <f t="shared" si="2"/>
        <v>24</v>
      </c>
      <c r="J28" s="22">
        <v>1</v>
      </c>
      <c r="K28" s="20" t="s">
        <v>18</v>
      </c>
      <c r="L28" s="19">
        <v>40918.780000000013</v>
      </c>
      <c r="M28" s="21">
        <v>6936</v>
      </c>
      <c r="N28" s="23">
        <v>44678</v>
      </c>
      <c r="O28" s="30" t="s">
        <v>16</v>
      </c>
    </row>
    <row r="29" spans="1:18" s="61" customFormat="1" ht="25.5" customHeight="1" x14ac:dyDescent="0.2">
      <c r="A29" s="17">
        <v>27</v>
      </c>
      <c r="B29" s="22">
        <v>23</v>
      </c>
      <c r="C29" s="25" t="s">
        <v>156</v>
      </c>
      <c r="D29" s="19">
        <v>256.14999999999998</v>
      </c>
      <c r="E29" s="19">
        <v>726.98</v>
      </c>
      <c r="F29" s="20">
        <f t="shared" si="3"/>
        <v>-0.64765192990178555</v>
      </c>
      <c r="G29" s="21">
        <v>71</v>
      </c>
      <c r="H29" s="21">
        <v>3</v>
      </c>
      <c r="I29" s="22">
        <f t="shared" si="2"/>
        <v>23.666666666666668</v>
      </c>
      <c r="J29" s="22">
        <v>1</v>
      </c>
      <c r="K29" s="20" t="s">
        <v>18</v>
      </c>
      <c r="L29" s="19">
        <v>322640.94</v>
      </c>
      <c r="M29" s="21">
        <v>68900</v>
      </c>
      <c r="N29" s="23">
        <v>44771</v>
      </c>
      <c r="O29" s="35" t="s">
        <v>14</v>
      </c>
    </row>
    <row r="30" spans="1:18" s="61" customFormat="1" ht="25.5" customHeight="1" x14ac:dyDescent="0.2">
      <c r="A30" s="17">
        <v>28</v>
      </c>
      <c r="B30" s="22">
        <v>20</v>
      </c>
      <c r="C30" s="25" t="s">
        <v>140</v>
      </c>
      <c r="D30" s="28">
        <v>245.95</v>
      </c>
      <c r="E30" s="19">
        <v>1090.52</v>
      </c>
      <c r="F30" s="20">
        <f t="shared" si="3"/>
        <v>-0.77446539265671421</v>
      </c>
      <c r="G30" s="29">
        <v>61</v>
      </c>
      <c r="H30" s="21">
        <v>6</v>
      </c>
      <c r="I30" s="22">
        <f t="shared" si="2"/>
        <v>10.166666666666666</v>
      </c>
      <c r="J30" s="22">
        <v>3</v>
      </c>
      <c r="K30" s="22">
        <v>4</v>
      </c>
      <c r="L30" s="28">
        <v>18592.11</v>
      </c>
      <c r="M30" s="29">
        <v>3171</v>
      </c>
      <c r="N30" s="23">
        <v>45072</v>
      </c>
      <c r="O30" s="36" t="s">
        <v>13</v>
      </c>
    </row>
    <row r="31" spans="1:18" s="61" customFormat="1" ht="25.5" customHeight="1" x14ac:dyDescent="0.2">
      <c r="A31" s="17">
        <v>29</v>
      </c>
      <c r="B31" s="20" t="s">
        <v>18</v>
      </c>
      <c r="C31" s="25" t="s">
        <v>168</v>
      </c>
      <c r="D31" s="19">
        <v>244.99</v>
      </c>
      <c r="E31" s="20" t="s">
        <v>18</v>
      </c>
      <c r="F31" s="20" t="s">
        <v>18</v>
      </c>
      <c r="G31" s="21">
        <v>72</v>
      </c>
      <c r="H31" s="21">
        <v>2</v>
      </c>
      <c r="I31" s="22">
        <f t="shared" si="2"/>
        <v>36</v>
      </c>
      <c r="J31" s="22">
        <v>2</v>
      </c>
      <c r="K31" s="20" t="s">
        <v>18</v>
      </c>
      <c r="L31" s="19">
        <v>167505.12</v>
      </c>
      <c r="M31" s="21">
        <v>34240</v>
      </c>
      <c r="N31" s="23">
        <v>44925</v>
      </c>
      <c r="O31" s="35" t="s">
        <v>16</v>
      </c>
    </row>
    <row r="32" spans="1:18" s="61" customFormat="1" ht="25.5" customHeight="1" x14ac:dyDescent="0.2">
      <c r="A32" s="17">
        <v>30</v>
      </c>
      <c r="B32" s="22">
        <v>17</v>
      </c>
      <c r="C32" s="25" t="s">
        <v>182</v>
      </c>
      <c r="D32" s="19">
        <v>223.6</v>
      </c>
      <c r="E32" s="19">
        <v>1169.8900000000001</v>
      </c>
      <c r="F32" s="20">
        <f t="shared" ref="F32:F37" si="4">(D32-E32)/E32</f>
        <v>-0.80887091948815704</v>
      </c>
      <c r="G32" s="21">
        <v>56</v>
      </c>
      <c r="H32" s="21">
        <v>3</v>
      </c>
      <c r="I32" s="22">
        <f t="shared" si="2"/>
        <v>18.666666666666668</v>
      </c>
      <c r="J32" s="22">
        <v>1</v>
      </c>
      <c r="K32" s="20" t="s">
        <v>18</v>
      </c>
      <c r="L32" s="19">
        <v>185755.2</v>
      </c>
      <c r="M32" s="21">
        <v>36978</v>
      </c>
      <c r="N32" s="23">
        <v>44568</v>
      </c>
      <c r="O32" s="30" t="s">
        <v>180</v>
      </c>
    </row>
    <row r="33" spans="1:15" s="61" customFormat="1" ht="25.5" customHeight="1" x14ac:dyDescent="0.2">
      <c r="A33" s="17">
        <v>31</v>
      </c>
      <c r="B33" s="22">
        <v>46</v>
      </c>
      <c r="C33" s="25" t="s">
        <v>79</v>
      </c>
      <c r="D33" s="19">
        <v>179.60000000000002</v>
      </c>
      <c r="E33" s="19">
        <v>15</v>
      </c>
      <c r="F33" s="20">
        <f t="shared" si="4"/>
        <v>10.973333333333334</v>
      </c>
      <c r="G33" s="21">
        <v>26</v>
      </c>
      <c r="H33" s="21">
        <v>2</v>
      </c>
      <c r="I33" s="22">
        <f t="shared" si="2"/>
        <v>13</v>
      </c>
      <c r="J33" s="22">
        <v>1</v>
      </c>
      <c r="K33" s="22">
        <v>13</v>
      </c>
      <c r="L33" s="19">
        <v>45768</v>
      </c>
      <c r="M33" s="21">
        <v>5375</v>
      </c>
      <c r="N33" s="23">
        <v>45012</v>
      </c>
      <c r="O33" s="35" t="s">
        <v>68</v>
      </c>
    </row>
    <row r="34" spans="1:15" s="61" customFormat="1" ht="25.5" customHeight="1" x14ac:dyDescent="0.2">
      <c r="A34" s="17">
        <v>32</v>
      </c>
      <c r="B34" s="22">
        <v>11</v>
      </c>
      <c r="C34" s="25" t="s">
        <v>169</v>
      </c>
      <c r="D34" s="19">
        <v>174.2</v>
      </c>
      <c r="E34" s="19">
        <v>3522.94</v>
      </c>
      <c r="F34" s="20">
        <f t="shared" si="4"/>
        <v>-0.9505526634004553</v>
      </c>
      <c r="G34" s="21">
        <v>24</v>
      </c>
      <c r="H34" s="21">
        <v>6</v>
      </c>
      <c r="I34" s="22">
        <f t="shared" si="2"/>
        <v>4</v>
      </c>
      <c r="J34" s="22">
        <v>3</v>
      </c>
      <c r="K34" s="22">
        <v>2</v>
      </c>
      <c r="L34" s="19">
        <v>3844.94</v>
      </c>
      <c r="M34" s="21">
        <v>584</v>
      </c>
      <c r="N34" s="23">
        <v>45086</v>
      </c>
      <c r="O34" s="35" t="s">
        <v>170</v>
      </c>
    </row>
    <row r="35" spans="1:15" s="61" customFormat="1" ht="25.5" customHeight="1" x14ac:dyDescent="0.2">
      <c r="A35" s="17">
        <v>33</v>
      </c>
      <c r="B35" s="22">
        <v>48</v>
      </c>
      <c r="C35" s="25" t="s">
        <v>110</v>
      </c>
      <c r="D35" s="19">
        <v>161</v>
      </c>
      <c r="E35" s="19">
        <v>11</v>
      </c>
      <c r="F35" s="20">
        <f t="shared" si="4"/>
        <v>13.636363636363637</v>
      </c>
      <c r="G35" s="21">
        <v>29</v>
      </c>
      <c r="H35" s="21">
        <v>1</v>
      </c>
      <c r="I35" s="22">
        <f t="shared" si="2"/>
        <v>29</v>
      </c>
      <c r="J35" s="22">
        <v>1</v>
      </c>
      <c r="K35" s="22">
        <v>7</v>
      </c>
      <c r="L35" s="19">
        <v>1193.8</v>
      </c>
      <c r="M35" s="21">
        <v>222</v>
      </c>
      <c r="N35" s="23">
        <v>45052</v>
      </c>
      <c r="O35" s="30" t="s">
        <v>30</v>
      </c>
    </row>
    <row r="36" spans="1:15" s="61" customFormat="1" ht="25.5" customHeight="1" x14ac:dyDescent="0.2">
      <c r="A36" s="17">
        <v>34</v>
      </c>
      <c r="B36" s="22">
        <v>43</v>
      </c>
      <c r="C36" s="25" t="s">
        <v>102</v>
      </c>
      <c r="D36" s="19">
        <v>160</v>
      </c>
      <c r="E36" s="19">
        <v>35.1</v>
      </c>
      <c r="F36" s="20">
        <f t="shared" si="4"/>
        <v>3.5584045584045585</v>
      </c>
      <c r="G36" s="21">
        <v>30</v>
      </c>
      <c r="H36" s="21">
        <v>1</v>
      </c>
      <c r="I36" s="22">
        <f t="shared" si="2"/>
        <v>30</v>
      </c>
      <c r="J36" s="22">
        <v>1</v>
      </c>
      <c r="K36" s="22">
        <v>7</v>
      </c>
      <c r="L36" s="19">
        <v>3658</v>
      </c>
      <c r="M36" s="21">
        <v>645</v>
      </c>
      <c r="N36" s="23">
        <v>45051</v>
      </c>
      <c r="O36" s="35" t="s">
        <v>68</v>
      </c>
    </row>
    <row r="37" spans="1:15" s="61" customFormat="1" ht="25.5" customHeight="1" x14ac:dyDescent="0.2">
      <c r="A37" s="17">
        <v>35</v>
      </c>
      <c r="B37" s="22">
        <v>36</v>
      </c>
      <c r="C37" s="18" t="s">
        <v>58</v>
      </c>
      <c r="D37" s="19">
        <v>132.19999999999999</v>
      </c>
      <c r="E37" s="19">
        <v>144.30000000000001</v>
      </c>
      <c r="F37" s="20">
        <f t="shared" si="4"/>
        <v>-8.3853083853084001E-2</v>
      </c>
      <c r="G37" s="21">
        <v>28</v>
      </c>
      <c r="H37" s="21">
        <v>3</v>
      </c>
      <c r="I37" s="22">
        <f t="shared" ref="I37:I45" si="5">G37/H37</f>
        <v>9.3333333333333339</v>
      </c>
      <c r="J37" s="22">
        <v>1</v>
      </c>
      <c r="K37" s="22">
        <v>8</v>
      </c>
      <c r="L37" s="19">
        <v>10812.770000000004</v>
      </c>
      <c r="M37" s="21">
        <v>1775</v>
      </c>
      <c r="N37" s="23">
        <v>45044</v>
      </c>
      <c r="O37" s="30" t="s">
        <v>16</v>
      </c>
    </row>
    <row r="38" spans="1:15" s="45" customFormat="1" ht="25.5" customHeight="1" x14ac:dyDescent="0.2">
      <c r="A38" s="17">
        <v>36</v>
      </c>
      <c r="B38" s="19" t="s">
        <v>18</v>
      </c>
      <c r="C38" s="25" t="s">
        <v>43</v>
      </c>
      <c r="D38" s="19">
        <v>122</v>
      </c>
      <c r="E38" s="19" t="s">
        <v>18</v>
      </c>
      <c r="F38" s="20" t="s">
        <v>18</v>
      </c>
      <c r="G38" s="21">
        <v>17</v>
      </c>
      <c r="H38" s="21">
        <v>1</v>
      </c>
      <c r="I38" s="22">
        <f t="shared" si="5"/>
        <v>17</v>
      </c>
      <c r="J38" s="22">
        <v>1</v>
      </c>
      <c r="K38" s="20" t="s">
        <v>18</v>
      </c>
      <c r="L38" s="19">
        <v>129989.08</v>
      </c>
      <c r="M38" s="21">
        <v>20395</v>
      </c>
      <c r="N38" s="23">
        <v>44981</v>
      </c>
      <c r="O38" s="36" t="s">
        <v>17</v>
      </c>
    </row>
    <row r="39" spans="1:15" s="45" customFormat="1" ht="25.5" customHeight="1" x14ac:dyDescent="0.2">
      <c r="A39" s="17">
        <v>37</v>
      </c>
      <c r="B39" s="17" t="s">
        <v>18</v>
      </c>
      <c r="C39" s="25" t="s">
        <v>193</v>
      </c>
      <c r="D39" s="19">
        <v>80</v>
      </c>
      <c r="E39" s="19" t="s">
        <v>18</v>
      </c>
      <c r="F39" s="20" t="s">
        <v>18</v>
      </c>
      <c r="G39" s="21">
        <v>16</v>
      </c>
      <c r="H39" s="22">
        <v>1</v>
      </c>
      <c r="I39" s="22">
        <f t="shared" si="5"/>
        <v>16</v>
      </c>
      <c r="J39" s="22">
        <v>1</v>
      </c>
      <c r="K39" s="17" t="s">
        <v>18</v>
      </c>
      <c r="L39" s="19">
        <v>929</v>
      </c>
      <c r="M39" s="21">
        <v>307</v>
      </c>
      <c r="N39" s="23">
        <v>44007</v>
      </c>
      <c r="O39" s="30" t="s">
        <v>68</v>
      </c>
    </row>
    <row r="40" spans="1:15" s="45" customFormat="1" ht="25.5" customHeight="1" x14ac:dyDescent="0.2">
      <c r="A40" s="17">
        <v>38</v>
      </c>
      <c r="B40" s="19" t="s">
        <v>18</v>
      </c>
      <c r="C40" s="25" t="s">
        <v>75</v>
      </c>
      <c r="D40" s="19">
        <v>66.599999999999994</v>
      </c>
      <c r="E40" s="19" t="s">
        <v>18</v>
      </c>
      <c r="F40" s="20" t="s">
        <v>18</v>
      </c>
      <c r="G40" s="21">
        <v>10</v>
      </c>
      <c r="H40" s="21">
        <v>1</v>
      </c>
      <c r="I40" s="22">
        <f t="shared" si="5"/>
        <v>10</v>
      </c>
      <c r="J40" s="22">
        <v>1</v>
      </c>
      <c r="K40" s="22" t="s">
        <v>18</v>
      </c>
      <c r="L40" s="19">
        <v>9463</v>
      </c>
      <c r="M40" s="21">
        <v>1646</v>
      </c>
      <c r="N40" s="23">
        <v>45012</v>
      </c>
      <c r="O40" s="36" t="s">
        <v>68</v>
      </c>
    </row>
    <row r="41" spans="1:15" s="45" customFormat="1" ht="25.5" customHeight="1" x14ac:dyDescent="0.2">
      <c r="A41" s="17">
        <v>39</v>
      </c>
      <c r="B41" s="17" t="s">
        <v>18</v>
      </c>
      <c r="C41" s="25" t="s">
        <v>76</v>
      </c>
      <c r="D41" s="19">
        <v>66</v>
      </c>
      <c r="E41" s="19" t="s">
        <v>18</v>
      </c>
      <c r="F41" s="20" t="s">
        <v>18</v>
      </c>
      <c r="G41" s="21">
        <v>14</v>
      </c>
      <c r="H41" s="22">
        <v>3</v>
      </c>
      <c r="I41" s="22">
        <f t="shared" si="5"/>
        <v>4.666666666666667</v>
      </c>
      <c r="J41" s="22">
        <v>1</v>
      </c>
      <c r="K41" s="17" t="s">
        <v>18</v>
      </c>
      <c r="L41" s="19">
        <v>19102</v>
      </c>
      <c r="M41" s="21">
        <v>2164</v>
      </c>
      <c r="N41" s="23">
        <v>45012</v>
      </c>
      <c r="O41" s="30" t="s">
        <v>68</v>
      </c>
    </row>
    <row r="42" spans="1:15" s="45" customFormat="1" ht="25.5" customHeight="1" x14ac:dyDescent="0.2">
      <c r="A42" s="17">
        <v>40</v>
      </c>
      <c r="B42" s="17" t="s">
        <v>18</v>
      </c>
      <c r="C42" s="25" t="s">
        <v>69</v>
      </c>
      <c r="D42" s="19">
        <v>65</v>
      </c>
      <c r="E42" s="19" t="s">
        <v>18</v>
      </c>
      <c r="F42" s="20" t="s">
        <v>18</v>
      </c>
      <c r="G42" s="21">
        <v>14</v>
      </c>
      <c r="H42" s="17">
        <v>1</v>
      </c>
      <c r="I42" s="22">
        <f t="shared" si="5"/>
        <v>14</v>
      </c>
      <c r="J42" s="17">
        <v>1</v>
      </c>
      <c r="K42" s="17" t="s">
        <v>18</v>
      </c>
      <c r="L42" s="19">
        <v>180</v>
      </c>
      <c r="M42" s="21">
        <v>38</v>
      </c>
      <c r="N42" s="23">
        <v>45012</v>
      </c>
      <c r="O42" s="36" t="s">
        <v>68</v>
      </c>
    </row>
    <row r="43" spans="1:15" s="45" customFormat="1" ht="25.5" customHeight="1" x14ac:dyDescent="0.2">
      <c r="A43" s="17">
        <v>41</v>
      </c>
      <c r="B43" s="20" t="s">
        <v>18</v>
      </c>
      <c r="C43" s="13" t="s">
        <v>192</v>
      </c>
      <c r="D43" s="8">
        <v>58</v>
      </c>
      <c r="E43" s="19" t="s">
        <v>18</v>
      </c>
      <c r="F43" s="20" t="s">
        <v>18</v>
      </c>
      <c r="G43" s="10">
        <v>13</v>
      </c>
      <c r="H43" s="10">
        <v>1</v>
      </c>
      <c r="I43" s="22">
        <f t="shared" si="5"/>
        <v>13</v>
      </c>
      <c r="J43" s="11">
        <v>1</v>
      </c>
      <c r="K43" s="20" t="s">
        <v>18</v>
      </c>
      <c r="L43" s="19">
        <v>103986.3</v>
      </c>
      <c r="M43" s="21">
        <v>16145</v>
      </c>
      <c r="N43" s="12">
        <v>44869</v>
      </c>
      <c r="O43" s="30" t="s">
        <v>13</v>
      </c>
    </row>
    <row r="44" spans="1:15" s="45" customFormat="1" ht="25.5" customHeight="1" x14ac:dyDescent="0.2">
      <c r="A44" s="17">
        <v>42</v>
      </c>
      <c r="B44" s="22">
        <v>31</v>
      </c>
      <c r="C44" s="18" t="s">
        <v>37</v>
      </c>
      <c r="D44" s="19">
        <v>51.8</v>
      </c>
      <c r="E44" s="19">
        <v>230.5</v>
      </c>
      <c r="F44" s="20">
        <f>(D44-E44)/E44</f>
        <v>-0.7752711496746203</v>
      </c>
      <c r="G44" s="21">
        <v>8</v>
      </c>
      <c r="H44" s="21">
        <v>1</v>
      </c>
      <c r="I44" s="22">
        <f t="shared" si="5"/>
        <v>8</v>
      </c>
      <c r="J44" s="22">
        <v>1</v>
      </c>
      <c r="K44" s="22">
        <v>18</v>
      </c>
      <c r="L44" s="19">
        <v>278562.03999999998</v>
      </c>
      <c r="M44" s="21">
        <v>46833</v>
      </c>
      <c r="N44" s="23">
        <v>44973</v>
      </c>
      <c r="O44" s="30" t="s">
        <v>13</v>
      </c>
    </row>
    <row r="45" spans="1:15" s="45" customFormat="1" ht="25.5" customHeight="1" x14ac:dyDescent="0.2">
      <c r="A45" s="17">
        <v>43</v>
      </c>
      <c r="B45" s="22">
        <v>40</v>
      </c>
      <c r="C45" s="25" t="s">
        <v>23</v>
      </c>
      <c r="D45" s="19">
        <v>49.7</v>
      </c>
      <c r="E45" s="19">
        <v>44.2</v>
      </c>
      <c r="F45" s="20">
        <f>(D45-E45)/E45</f>
        <v>0.12443438914027148</v>
      </c>
      <c r="G45" s="21">
        <v>8</v>
      </c>
      <c r="H45" s="21">
        <v>1</v>
      </c>
      <c r="I45" s="22">
        <f t="shared" si="5"/>
        <v>8</v>
      </c>
      <c r="J45" s="22">
        <v>1</v>
      </c>
      <c r="K45" s="22">
        <v>10</v>
      </c>
      <c r="L45" s="19">
        <v>35746.54</v>
      </c>
      <c r="M45" s="21">
        <v>5613</v>
      </c>
      <c r="N45" s="23">
        <v>45030</v>
      </c>
      <c r="O45" s="36" t="s">
        <v>12</v>
      </c>
    </row>
    <row r="46" spans="1:15" s="45" customFormat="1" ht="25.5" customHeight="1" x14ac:dyDescent="0.2">
      <c r="A46" s="17">
        <v>44</v>
      </c>
      <c r="B46" s="22">
        <v>30</v>
      </c>
      <c r="C46" s="25" t="s">
        <v>126</v>
      </c>
      <c r="D46" s="19">
        <v>43</v>
      </c>
      <c r="E46" s="19">
        <v>256</v>
      </c>
      <c r="F46" s="20">
        <f>(D46-E46)/E46</f>
        <v>-0.83203125</v>
      </c>
      <c r="G46" s="21">
        <v>6</v>
      </c>
      <c r="H46" s="22" t="s">
        <v>18</v>
      </c>
      <c r="I46" s="22" t="s">
        <v>18</v>
      </c>
      <c r="J46" s="22">
        <v>2</v>
      </c>
      <c r="K46" s="22">
        <v>6</v>
      </c>
      <c r="L46" s="19">
        <v>9359</v>
      </c>
      <c r="M46" s="21">
        <v>1560</v>
      </c>
      <c r="N46" s="23">
        <v>45058</v>
      </c>
      <c r="O46" s="36" t="s">
        <v>15</v>
      </c>
    </row>
    <row r="47" spans="1:15" s="45" customFormat="1" ht="25.5" customHeight="1" x14ac:dyDescent="0.2">
      <c r="A47" s="17">
        <v>45</v>
      </c>
      <c r="B47" s="19" t="s">
        <v>18</v>
      </c>
      <c r="C47" s="25" t="s">
        <v>78</v>
      </c>
      <c r="D47" s="19">
        <v>38.700000000000003</v>
      </c>
      <c r="E47" s="19" t="s">
        <v>18</v>
      </c>
      <c r="F47" s="20" t="s">
        <v>18</v>
      </c>
      <c r="G47" s="21">
        <v>6</v>
      </c>
      <c r="H47" s="21">
        <v>1</v>
      </c>
      <c r="I47" s="11">
        <f>G47/H47</f>
        <v>6</v>
      </c>
      <c r="J47" s="22">
        <v>1</v>
      </c>
      <c r="K47" s="20" t="s">
        <v>18</v>
      </c>
      <c r="L47" s="19">
        <v>21945</v>
      </c>
      <c r="M47" s="21">
        <v>2627</v>
      </c>
      <c r="N47" s="23">
        <v>45012</v>
      </c>
      <c r="O47" s="36" t="s">
        <v>68</v>
      </c>
    </row>
    <row r="48" spans="1:15" s="61" customFormat="1" ht="25.5" customHeight="1" x14ac:dyDescent="0.2">
      <c r="A48" s="17">
        <v>46</v>
      </c>
      <c r="B48" s="22">
        <v>35</v>
      </c>
      <c r="C48" s="25" t="s">
        <v>130</v>
      </c>
      <c r="D48" s="19">
        <v>17.5</v>
      </c>
      <c r="E48" s="19">
        <v>153.5</v>
      </c>
      <c r="F48" s="20">
        <f>(D48-E48)/E48</f>
        <v>-0.88599348534201949</v>
      </c>
      <c r="G48" s="21">
        <v>7</v>
      </c>
      <c r="H48" s="21">
        <v>1</v>
      </c>
      <c r="I48" s="11">
        <f t="shared" ref="I48:I50" si="6">G48/H48</f>
        <v>7</v>
      </c>
      <c r="J48" s="22">
        <v>1</v>
      </c>
      <c r="K48" s="20" t="s">
        <v>18</v>
      </c>
      <c r="L48" s="19">
        <v>177489</v>
      </c>
      <c r="M48" s="21">
        <v>30084</v>
      </c>
      <c r="N48" s="23">
        <v>44834</v>
      </c>
      <c r="O48" s="35" t="s">
        <v>68</v>
      </c>
    </row>
    <row r="49" spans="1:15" s="45" customFormat="1" ht="25.5" customHeight="1" x14ac:dyDescent="0.2">
      <c r="A49" s="17">
        <v>47</v>
      </c>
      <c r="B49" s="22">
        <v>41</v>
      </c>
      <c r="C49" s="25" t="s">
        <v>136</v>
      </c>
      <c r="D49" s="19">
        <v>16</v>
      </c>
      <c r="E49" s="19">
        <v>40</v>
      </c>
      <c r="F49" s="20">
        <f>(D49-E49)/E49</f>
        <v>-0.6</v>
      </c>
      <c r="G49" s="21">
        <v>4</v>
      </c>
      <c r="H49" s="21">
        <v>2</v>
      </c>
      <c r="I49" s="11">
        <f t="shared" si="6"/>
        <v>2</v>
      </c>
      <c r="J49" s="22">
        <v>1</v>
      </c>
      <c r="K49" s="22">
        <v>5</v>
      </c>
      <c r="L49" s="19">
        <v>1299</v>
      </c>
      <c r="M49" s="21">
        <v>313</v>
      </c>
      <c r="N49" s="23">
        <v>45065</v>
      </c>
      <c r="O49" s="35" t="s">
        <v>68</v>
      </c>
    </row>
    <row r="50" spans="1:15" s="45" customFormat="1" ht="25.5" customHeight="1" x14ac:dyDescent="0.2">
      <c r="A50" s="17">
        <v>48</v>
      </c>
      <c r="B50" s="22">
        <v>26</v>
      </c>
      <c r="C50" s="25" t="s">
        <v>80</v>
      </c>
      <c r="D50" s="19">
        <v>14.8</v>
      </c>
      <c r="E50" s="19">
        <v>498</v>
      </c>
      <c r="F50" s="20">
        <f>(D50-E50)/E50</f>
        <v>-0.97028112449799198</v>
      </c>
      <c r="G50" s="21">
        <v>2</v>
      </c>
      <c r="H50" s="21">
        <v>1</v>
      </c>
      <c r="I50" s="11">
        <f t="shared" si="6"/>
        <v>2</v>
      </c>
      <c r="J50" s="22">
        <v>1</v>
      </c>
      <c r="K50" s="22" t="s">
        <v>18</v>
      </c>
      <c r="L50" s="19">
        <v>9659</v>
      </c>
      <c r="M50" s="21">
        <v>1755</v>
      </c>
      <c r="N50" s="23">
        <v>45012</v>
      </c>
      <c r="O50" s="35" t="s">
        <v>68</v>
      </c>
    </row>
    <row r="51" spans="1:15" s="45" customFormat="1" ht="25.5" customHeight="1" x14ac:dyDescent="0.2">
      <c r="A51" s="41" t="s">
        <v>85</v>
      </c>
      <c r="B51" s="41" t="s">
        <v>85</v>
      </c>
      <c r="C51" s="46" t="s">
        <v>183</v>
      </c>
      <c r="D51" s="47">
        <f>SUBTOTAL(109,Table1324587910[Pajamos 
(GBO)])</f>
        <v>365646.75999999995</v>
      </c>
      <c r="E51" s="47" t="s">
        <v>185</v>
      </c>
      <c r="F51" s="42">
        <f>(D51-E51)/E51</f>
        <v>0.36195998822964098</v>
      </c>
      <c r="G51" s="43">
        <f>SUBTOTAL(109,Table1324587910[Žiūrovų sk. 
(ADM)])</f>
        <v>67335</v>
      </c>
      <c r="H51" s="55"/>
      <c r="I51" s="46"/>
      <c r="J51" s="51"/>
      <c r="K51" s="46"/>
      <c r="L51" s="53"/>
      <c r="M51" s="55"/>
      <c r="N51" s="60"/>
      <c r="O51" s="46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59446-5C2B-41F9-BDA0-D207A5929836}">
  <dimension ref="A1:XFC49"/>
  <sheetViews>
    <sheetView topLeftCell="A2" zoomScale="60" zoomScaleNormal="60" workbookViewId="0">
      <selection activeCell="K31" sqref="K31"/>
    </sheetView>
  </sheetViews>
  <sheetFormatPr defaultColWidth="0" defaultRowHeight="0" customHeight="1" zeroHeight="1" x14ac:dyDescent="0.15"/>
  <cols>
    <col min="1" max="1" width="4.7109375" style="69" customWidth="1"/>
    <col min="2" max="2" width="4.7109375" style="84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81" customWidth="1"/>
    <col min="16" max="16" width="31.85546875" style="1" hidden="1" customWidth="1"/>
    <col min="17" max="16384" width="5.42578125" style="1" hidden="1"/>
  </cols>
  <sheetData>
    <row r="1" spans="1:18" s="4" customFormat="1" ht="40.5" customHeight="1" thickBot="1" x14ac:dyDescent="0.25">
      <c r="A1" s="87" t="s">
        <v>327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50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5" customHeight="1" x14ac:dyDescent="0.2">
      <c r="A3" s="22">
        <v>1</v>
      </c>
      <c r="B3" s="21" t="s">
        <v>31</v>
      </c>
      <c r="C3" s="18" t="s">
        <v>330</v>
      </c>
      <c r="D3" s="19">
        <v>160434.76</v>
      </c>
      <c r="E3" s="19" t="s">
        <v>18</v>
      </c>
      <c r="F3" s="20" t="s">
        <v>18</v>
      </c>
      <c r="G3" s="21">
        <v>28889</v>
      </c>
      <c r="H3" s="22">
        <v>534</v>
      </c>
      <c r="I3" s="22">
        <f>G3/H3</f>
        <v>54.099250936329589</v>
      </c>
      <c r="J3" s="85">
        <v>33</v>
      </c>
      <c r="K3" s="22">
        <v>1</v>
      </c>
      <c r="L3" s="19">
        <v>160434.76</v>
      </c>
      <c r="M3" s="21">
        <v>28889</v>
      </c>
      <c r="N3" s="23">
        <v>45212</v>
      </c>
      <c r="O3" s="30" t="s">
        <v>179</v>
      </c>
    </row>
    <row r="4" spans="1:18" s="24" customFormat="1" ht="25.5" customHeight="1" x14ac:dyDescent="0.2">
      <c r="A4" s="22">
        <v>2</v>
      </c>
      <c r="B4" s="21">
        <v>1</v>
      </c>
      <c r="C4" s="18" t="s">
        <v>309</v>
      </c>
      <c r="D4" s="19">
        <v>40077.839999999997</v>
      </c>
      <c r="E4" s="19">
        <v>69873.58</v>
      </c>
      <c r="F4" s="20">
        <f>(D4-E4)/E4</f>
        <v>-0.42642354950182892</v>
      </c>
      <c r="G4" s="21">
        <v>5417</v>
      </c>
      <c r="H4" s="22" t="s">
        <v>18</v>
      </c>
      <c r="I4" s="22" t="s">
        <v>18</v>
      </c>
      <c r="J4" s="85">
        <v>14</v>
      </c>
      <c r="K4" s="22">
        <v>3</v>
      </c>
      <c r="L4" s="19">
        <v>196541.04</v>
      </c>
      <c r="M4" s="21">
        <v>27764</v>
      </c>
      <c r="N4" s="23">
        <v>45198</v>
      </c>
      <c r="O4" s="30" t="s">
        <v>310</v>
      </c>
    </row>
    <row r="5" spans="1:18" s="24" customFormat="1" ht="25.5" customHeight="1" x14ac:dyDescent="0.2">
      <c r="A5" s="22">
        <v>3</v>
      </c>
      <c r="B5" s="21">
        <v>2</v>
      </c>
      <c r="C5" s="18" t="s">
        <v>319</v>
      </c>
      <c r="D5" s="19">
        <v>30316.03</v>
      </c>
      <c r="E5" s="19">
        <v>54746.23</v>
      </c>
      <c r="F5" s="20">
        <f>(D5-E5)/E5</f>
        <v>-0.44624442632853445</v>
      </c>
      <c r="G5" s="21">
        <v>4313</v>
      </c>
      <c r="H5" s="22">
        <v>194</v>
      </c>
      <c r="I5" s="22">
        <f t="shared" ref="I5:I12" si="0">G5/H5</f>
        <v>22.231958762886599</v>
      </c>
      <c r="J5" s="85">
        <v>13</v>
      </c>
      <c r="K5" s="22">
        <v>2</v>
      </c>
      <c r="L5" s="19">
        <v>86987.55</v>
      </c>
      <c r="M5" s="21">
        <v>13246</v>
      </c>
      <c r="N5" s="23">
        <v>45205</v>
      </c>
      <c r="O5" s="30" t="s">
        <v>40</v>
      </c>
      <c r="R5" s="17"/>
    </row>
    <row r="6" spans="1:18" s="24" customFormat="1" ht="25.5" customHeight="1" x14ac:dyDescent="0.2">
      <c r="A6" s="22">
        <v>4</v>
      </c>
      <c r="B6" s="21">
        <v>3</v>
      </c>
      <c r="C6" s="18" t="s">
        <v>318</v>
      </c>
      <c r="D6" s="19">
        <v>28491.64</v>
      </c>
      <c r="E6" s="19">
        <v>49439.98</v>
      </c>
      <c r="F6" s="20">
        <f>(D6-E6)/E6</f>
        <v>-0.42371255004552999</v>
      </c>
      <c r="G6" s="21">
        <v>4026</v>
      </c>
      <c r="H6" s="22">
        <v>139</v>
      </c>
      <c r="I6" s="22">
        <f t="shared" si="0"/>
        <v>28.964028776978417</v>
      </c>
      <c r="J6" s="85">
        <v>11</v>
      </c>
      <c r="K6" s="22">
        <v>2</v>
      </c>
      <c r="L6" s="19">
        <v>79010.009999999995</v>
      </c>
      <c r="M6" s="21">
        <v>12094</v>
      </c>
      <c r="N6" s="23">
        <v>45205</v>
      </c>
      <c r="O6" s="30" t="s">
        <v>179</v>
      </c>
      <c r="R6" s="17"/>
    </row>
    <row r="7" spans="1:18" s="24" customFormat="1" ht="25.5" customHeight="1" x14ac:dyDescent="0.2">
      <c r="A7" s="22">
        <v>5</v>
      </c>
      <c r="B7" s="21">
        <v>6</v>
      </c>
      <c r="C7" s="18" t="s">
        <v>296</v>
      </c>
      <c r="D7" s="19">
        <v>22158.769999999899</v>
      </c>
      <c r="E7" s="19">
        <v>29392.869999999901</v>
      </c>
      <c r="F7" s="20">
        <f>(D7-E7)/E7</f>
        <v>-0.24611751081129629</v>
      </c>
      <c r="G7" s="21">
        <v>3297</v>
      </c>
      <c r="H7" s="22">
        <v>105</v>
      </c>
      <c r="I7" s="22">
        <f t="shared" si="0"/>
        <v>31.4</v>
      </c>
      <c r="J7" s="85">
        <v>16</v>
      </c>
      <c r="K7" s="22">
        <v>4</v>
      </c>
      <c r="L7" s="19">
        <v>157513.76</v>
      </c>
      <c r="M7" s="21">
        <v>24398</v>
      </c>
      <c r="N7" s="23">
        <v>45191</v>
      </c>
      <c r="O7" s="30" t="s">
        <v>68</v>
      </c>
      <c r="R7" s="17"/>
    </row>
    <row r="8" spans="1:18" s="24" customFormat="1" ht="25.5" customHeight="1" x14ac:dyDescent="0.2">
      <c r="A8" s="22">
        <v>6</v>
      </c>
      <c r="B8" s="21" t="s">
        <v>31</v>
      </c>
      <c r="C8" s="18" t="s">
        <v>324</v>
      </c>
      <c r="D8" s="19">
        <v>18071.66</v>
      </c>
      <c r="E8" s="20" t="s">
        <v>18</v>
      </c>
      <c r="F8" s="20" t="s">
        <v>18</v>
      </c>
      <c r="G8" s="21">
        <v>2657</v>
      </c>
      <c r="H8" s="22">
        <v>146</v>
      </c>
      <c r="I8" s="22">
        <f t="shared" si="0"/>
        <v>18.198630136986303</v>
      </c>
      <c r="J8" s="85">
        <v>16</v>
      </c>
      <c r="K8" s="22">
        <v>1</v>
      </c>
      <c r="L8" s="19">
        <v>19287.8</v>
      </c>
      <c r="M8" s="21">
        <v>2832</v>
      </c>
      <c r="N8" s="23">
        <v>45212</v>
      </c>
      <c r="O8" s="30" t="s">
        <v>13</v>
      </c>
      <c r="R8" s="17"/>
    </row>
    <row r="9" spans="1:18" s="24" customFormat="1" ht="25.5" customHeight="1" x14ac:dyDescent="0.2">
      <c r="A9" s="22">
        <v>7</v>
      </c>
      <c r="B9" s="21">
        <v>5</v>
      </c>
      <c r="C9" s="18" t="s">
        <v>317</v>
      </c>
      <c r="D9" s="19">
        <v>16251.15</v>
      </c>
      <c r="E9" s="19">
        <v>30294.58</v>
      </c>
      <c r="F9" s="20">
        <f>(D9-E9)/E9</f>
        <v>-0.4635624590273244</v>
      </c>
      <c r="G9" s="21">
        <v>2256</v>
      </c>
      <c r="H9" s="22">
        <v>69</v>
      </c>
      <c r="I9" s="22">
        <f t="shared" si="0"/>
        <v>32.695652173913047</v>
      </c>
      <c r="J9" s="85">
        <v>9</v>
      </c>
      <c r="K9" s="22">
        <v>3</v>
      </c>
      <c r="L9" s="19">
        <v>103183.34</v>
      </c>
      <c r="M9" s="21">
        <v>15169</v>
      </c>
      <c r="N9" s="23">
        <v>45198</v>
      </c>
      <c r="O9" s="30" t="s">
        <v>13</v>
      </c>
      <c r="R9" s="17"/>
    </row>
    <row r="10" spans="1:18" s="24" customFormat="1" ht="25.5" customHeight="1" x14ac:dyDescent="0.2">
      <c r="A10" s="22">
        <v>8</v>
      </c>
      <c r="B10" s="21">
        <v>4</v>
      </c>
      <c r="C10" s="18" t="s">
        <v>291</v>
      </c>
      <c r="D10" s="74">
        <v>10424.1</v>
      </c>
      <c r="E10" s="19">
        <v>30672.63</v>
      </c>
      <c r="F10" s="20">
        <f>(D10-E10)/E10</f>
        <v>-0.66014978174352834</v>
      </c>
      <c r="G10" s="73">
        <v>1965</v>
      </c>
      <c r="H10" s="22">
        <v>116</v>
      </c>
      <c r="I10" s="22">
        <f t="shared" si="0"/>
        <v>16.939655172413794</v>
      </c>
      <c r="J10" s="85">
        <v>9</v>
      </c>
      <c r="K10" s="75">
        <v>5</v>
      </c>
      <c r="L10" s="74">
        <v>146753.20000000001</v>
      </c>
      <c r="M10" s="73">
        <v>28281</v>
      </c>
      <c r="N10" s="23">
        <v>45184</v>
      </c>
      <c r="O10" s="30" t="s">
        <v>13</v>
      </c>
      <c r="R10" s="17"/>
    </row>
    <row r="11" spans="1:18" s="24" customFormat="1" ht="25.5" customHeight="1" x14ac:dyDescent="0.2">
      <c r="A11" s="22">
        <v>9</v>
      </c>
      <c r="B11" s="21">
        <v>7</v>
      </c>
      <c r="C11" s="18" t="s">
        <v>305</v>
      </c>
      <c r="D11" s="19">
        <v>8296.18</v>
      </c>
      <c r="E11" s="19">
        <v>23208.81</v>
      </c>
      <c r="F11" s="20">
        <f>(D11-E11)/E11</f>
        <v>-0.64254177616172481</v>
      </c>
      <c r="G11" s="21">
        <v>1513</v>
      </c>
      <c r="H11" s="22">
        <v>109</v>
      </c>
      <c r="I11" s="22">
        <f t="shared" si="0"/>
        <v>13.880733944954128</v>
      </c>
      <c r="J11" s="85">
        <v>10</v>
      </c>
      <c r="K11" s="22">
        <v>3</v>
      </c>
      <c r="L11" s="19">
        <v>54409.69</v>
      </c>
      <c r="M11" s="21">
        <v>10206</v>
      </c>
      <c r="N11" s="23">
        <v>45198</v>
      </c>
      <c r="O11" s="30" t="s">
        <v>13</v>
      </c>
      <c r="R11" s="17"/>
    </row>
    <row r="12" spans="1:18" s="24" customFormat="1" ht="25.5" customHeight="1" x14ac:dyDescent="0.2">
      <c r="A12" s="22">
        <v>10</v>
      </c>
      <c r="B12" s="21">
        <v>8</v>
      </c>
      <c r="C12" s="18" t="s">
        <v>222</v>
      </c>
      <c r="D12" s="19">
        <v>6189.79</v>
      </c>
      <c r="E12" s="19">
        <v>12891.42</v>
      </c>
      <c r="F12" s="20">
        <f>(D12-E12)/E12</f>
        <v>-0.51985196355405383</v>
      </c>
      <c r="G12" s="21">
        <v>875</v>
      </c>
      <c r="H12" s="22">
        <v>29</v>
      </c>
      <c r="I12" s="22">
        <f t="shared" si="0"/>
        <v>30.172413793103448</v>
      </c>
      <c r="J12" s="85">
        <v>6</v>
      </c>
      <c r="K12" s="22">
        <v>13</v>
      </c>
      <c r="L12" s="19">
        <v>1082322.3899999999</v>
      </c>
      <c r="M12" s="21">
        <v>152311</v>
      </c>
      <c r="N12" s="23">
        <v>45128</v>
      </c>
      <c r="O12" s="30" t="s">
        <v>179</v>
      </c>
      <c r="R12" s="17"/>
    </row>
    <row r="13" spans="1:18" s="27" customFormat="1" ht="25.5" customHeight="1" x14ac:dyDescent="0.15">
      <c r="A13" s="22">
        <v>11</v>
      </c>
      <c r="B13" s="21" t="s">
        <v>31</v>
      </c>
      <c r="C13" s="7" t="s">
        <v>331</v>
      </c>
      <c r="D13" s="8">
        <v>5508</v>
      </c>
      <c r="E13" s="19" t="s">
        <v>18</v>
      </c>
      <c r="F13" s="20" t="s">
        <v>18</v>
      </c>
      <c r="G13" s="10">
        <v>878</v>
      </c>
      <c r="H13" s="20" t="s">
        <v>18</v>
      </c>
      <c r="I13" s="20" t="s">
        <v>18</v>
      </c>
      <c r="J13" s="86">
        <v>10</v>
      </c>
      <c r="K13" s="11">
        <v>1</v>
      </c>
      <c r="L13" s="8">
        <v>5508</v>
      </c>
      <c r="M13" s="10">
        <v>878</v>
      </c>
      <c r="N13" s="12">
        <v>45212</v>
      </c>
      <c r="O13" s="31" t="s">
        <v>15</v>
      </c>
    </row>
    <row r="14" spans="1:18" s="27" customFormat="1" ht="25.5" customHeight="1" x14ac:dyDescent="0.15">
      <c r="A14" s="22">
        <v>12</v>
      </c>
      <c r="B14" s="21" t="s">
        <v>31</v>
      </c>
      <c r="C14" s="7" t="s">
        <v>329</v>
      </c>
      <c r="D14" s="8">
        <v>4301.22</v>
      </c>
      <c r="E14" s="19" t="s">
        <v>18</v>
      </c>
      <c r="F14" s="20" t="s">
        <v>18</v>
      </c>
      <c r="G14" s="10">
        <v>664</v>
      </c>
      <c r="H14" s="11">
        <v>103</v>
      </c>
      <c r="I14" s="22">
        <f t="shared" ref="I14:I19" si="1">G14/H14</f>
        <v>6.4466019417475726</v>
      </c>
      <c r="J14" s="86">
        <v>12</v>
      </c>
      <c r="K14" s="11">
        <v>1</v>
      </c>
      <c r="L14" s="19">
        <v>4301.22</v>
      </c>
      <c r="M14" s="21">
        <v>664</v>
      </c>
      <c r="N14" s="12">
        <v>45212</v>
      </c>
      <c r="O14" s="31" t="s">
        <v>64</v>
      </c>
    </row>
    <row r="15" spans="1:18" s="27" customFormat="1" ht="25.5" customHeight="1" x14ac:dyDescent="0.2">
      <c r="A15" s="22">
        <v>13</v>
      </c>
      <c r="B15" s="21">
        <v>18</v>
      </c>
      <c r="C15" s="18" t="s">
        <v>304</v>
      </c>
      <c r="D15" s="19">
        <v>4094.3</v>
      </c>
      <c r="E15" s="19">
        <v>6087.17</v>
      </c>
      <c r="F15" s="20">
        <f>(D15-E15)/E15</f>
        <v>-0.32738858944304167</v>
      </c>
      <c r="G15" s="21">
        <v>638</v>
      </c>
      <c r="H15" s="22">
        <v>17</v>
      </c>
      <c r="I15" s="22">
        <f t="shared" si="1"/>
        <v>37.529411764705884</v>
      </c>
      <c r="J15" s="85">
        <v>6</v>
      </c>
      <c r="K15" s="22">
        <v>3</v>
      </c>
      <c r="L15" s="19">
        <v>25862.400000000001</v>
      </c>
      <c r="M15" s="21">
        <v>4004</v>
      </c>
      <c r="N15" s="23">
        <v>45198</v>
      </c>
      <c r="O15" s="30" t="s">
        <v>16</v>
      </c>
      <c r="P15" s="77"/>
    </row>
    <row r="16" spans="1:18" s="27" customFormat="1" ht="25.5" customHeight="1" x14ac:dyDescent="0.2">
      <c r="A16" s="22">
        <v>14</v>
      </c>
      <c r="B16" s="21">
        <v>9</v>
      </c>
      <c r="C16" s="18" t="s">
        <v>323</v>
      </c>
      <c r="D16" s="19">
        <v>4045.82</v>
      </c>
      <c r="E16" s="19">
        <v>12254.45</v>
      </c>
      <c r="F16" s="20">
        <f>(D16-E16)/E16</f>
        <v>-0.66984891202787566</v>
      </c>
      <c r="G16" s="21">
        <v>709</v>
      </c>
      <c r="H16" s="22">
        <v>55</v>
      </c>
      <c r="I16" s="22">
        <f t="shared" si="1"/>
        <v>12.890909090909091</v>
      </c>
      <c r="J16" s="85">
        <v>13</v>
      </c>
      <c r="K16" s="22">
        <v>2</v>
      </c>
      <c r="L16" s="19">
        <v>16795.87</v>
      </c>
      <c r="M16" s="21">
        <v>3027</v>
      </c>
      <c r="N16" s="23">
        <v>45205</v>
      </c>
      <c r="O16" s="30" t="s">
        <v>13</v>
      </c>
      <c r="P16" s="77"/>
    </row>
    <row r="17" spans="1:16" s="27" customFormat="1" ht="25.5" customHeight="1" x14ac:dyDescent="0.2">
      <c r="A17" s="22">
        <v>15</v>
      </c>
      <c r="B17" s="21">
        <v>17</v>
      </c>
      <c r="C17" s="18" t="s">
        <v>321</v>
      </c>
      <c r="D17" s="19">
        <v>2954.96</v>
      </c>
      <c r="E17" s="19">
        <v>6132.43</v>
      </c>
      <c r="F17" s="20">
        <f>(D17-E17)/E17</f>
        <v>-0.51814207418592628</v>
      </c>
      <c r="G17" s="21">
        <v>535</v>
      </c>
      <c r="H17" s="22">
        <v>35</v>
      </c>
      <c r="I17" s="22">
        <f t="shared" si="1"/>
        <v>15.285714285714286</v>
      </c>
      <c r="J17" s="85">
        <v>9</v>
      </c>
      <c r="K17" s="22">
        <v>2</v>
      </c>
      <c r="L17" s="19">
        <v>9492.5999999999985</v>
      </c>
      <c r="M17" s="21">
        <v>1751</v>
      </c>
      <c r="N17" s="23">
        <v>45205</v>
      </c>
      <c r="O17" s="30" t="s">
        <v>48</v>
      </c>
      <c r="P17" s="77"/>
    </row>
    <row r="18" spans="1:16" s="27" customFormat="1" ht="25.5" customHeight="1" x14ac:dyDescent="0.2">
      <c r="A18" s="22">
        <v>16</v>
      </c>
      <c r="B18" s="21">
        <v>19</v>
      </c>
      <c r="C18" s="18" t="s">
        <v>314</v>
      </c>
      <c r="D18" s="19">
        <v>2657.92</v>
      </c>
      <c r="E18" s="19">
        <v>5602.65</v>
      </c>
      <c r="F18" s="20">
        <f>(D18-E18)/E18</f>
        <v>-0.52559592335769678</v>
      </c>
      <c r="G18" s="21">
        <v>490</v>
      </c>
      <c r="H18" s="22">
        <v>25</v>
      </c>
      <c r="I18" s="22">
        <f t="shared" si="1"/>
        <v>19.600000000000001</v>
      </c>
      <c r="J18" s="85">
        <v>8</v>
      </c>
      <c r="K18" s="22">
        <v>3</v>
      </c>
      <c r="L18" s="19">
        <v>16352.3</v>
      </c>
      <c r="M18" s="21">
        <v>2677</v>
      </c>
      <c r="N18" s="23">
        <v>45198</v>
      </c>
      <c r="O18" s="30" t="s">
        <v>315</v>
      </c>
      <c r="P18" s="77"/>
    </row>
    <row r="19" spans="1:16" s="27" customFormat="1" ht="25.5" customHeight="1" x14ac:dyDescent="0.2">
      <c r="A19" s="22">
        <v>17</v>
      </c>
      <c r="B19" s="21" t="s">
        <v>31</v>
      </c>
      <c r="C19" s="7" t="s">
        <v>332</v>
      </c>
      <c r="D19" s="8">
        <v>2515.1200000000003</v>
      </c>
      <c r="E19" s="19" t="s">
        <v>18</v>
      </c>
      <c r="F19" s="20" t="s">
        <v>18</v>
      </c>
      <c r="G19" s="10">
        <v>367</v>
      </c>
      <c r="H19" s="11">
        <v>14</v>
      </c>
      <c r="I19" s="22">
        <f t="shared" si="1"/>
        <v>26.214285714285715</v>
      </c>
      <c r="J19" s="86">
        <v>4</v>
      </c>
      <c r="K19" s="11">
        <v>1</v>
      </c>
      <c r="L19" s="19">
        <v>2515.1200000000003</v>
      </c>
      <c r="M19" s="21">
        <v>367</v>
      </c>
      <c r="N19" s="12">
        <v>45213</v>
      </c>
      <c r="O19" s="31" t="s">
        <v>333</v>
      </c>
      <c r="P19" s="77"/>
    </row>
    <row r="20" spans="1:16" s="27" customFormat="1" ht="25.5" customHeight="1" x14ac:dyDescent="0.2">
      <c r="A20" s="22">
        <v>18</v>
      </c>
      <c r="B20" s="21">
        <v>11</v>
      </c>
      <c r="C20" s="18" t="s">
        <v>302</v>
      </c>
      <c r="D20" s="19">
        <v>2325</v>
      </c>
      <c r="E20" s="19">
        <v>8937</v>
      </c>
      <c r="F20" s="20">
        <f t="shared" ref="F20:F29" si="2">(D20-E20)/E20</f>
        <v>-0.73984558576703596</v>
      </c>
      <c r="G20" s="21">
        <v>430</v>
      </c>
      <c r="H20" s="22" t="s">
        <v>18</v>
      </c>
      <c r="I20" s="22" t="s">
        <v>18</v>
      </c>
      <c r="J20" s="85">
        <v>8</v>
      </c>
      <c r="K20" s="22">
        <v>4</v>
      </c>
      <c r="L20" s="19">
        <v>36171</v>
      </c>
      <c r="M20" s="21">
        <v>7326</v>
      </c>
      <c r="N20" s="23">
        <v>45191</v>
      </c>
      <c r="O20" s="30" t="s">
        <v>15</v>
      </c>
      <c r="P20" s="77"/>
    </row>
    <row r="21" spans="1:16" s="27" customFormat="1" ht="25.5" customHeight="1" x14ac:dyDescent="0.2">
      <c r="A21" s="22">
        <v>19</v>
      </c>
      <c r="B21" s="21">
        <v>15</v>
      </c>
      <c r="C21" s="18" t="s">
        <v>322</v>
      </c>
      <c r="D21" s="19">
        <v>2124.7199999999998</v>
      </c>
      <c r="E21" s="19">
        <v>7039.75</v>
      </c>
      <c r="F21" s="20">
        <f t="shared" si="2"/>
        <v>-0.69818246386590443</v>
      </c>
      <c r="G21" s="21">
        <v>348</v>
      </c>
      <c r="H21" s="22">
        <v>15</v>
      </c>
      <c r="I21" s="22">
        <f t="shared" ref="I21:I27" si="3">G21/H21</f>
        <v>23.2</v>
      </c>
      <c r="J21" s="85">
        <v>7</v>
      </c>
      <c r="K21" s="22">
        <v>2</v>
      </c>
      <c r="L21" s="19">
        <v>9164.4699999999993</v>
      </c>
      <c r="M21" s="21">
        <v>1182</v>
      </c>
      <c r="N21" s="23">
        <v>45205</v>
      </c>
      <c r="O21" s="30" t="s">
        <v>276</v>
      </c>
      <c r="P21" s="77"/>
    </row>
    <row r="22" spans="1:16" s="27" customFormat="1" ht="25.5" customHeight="1" x14ac:dyDescent="0.2">
      <c r="A22" s="22">
        <v>20</v>
      </c>
      <c r="B22" s="21">
        <v>13</v>
      </c>
      <c r="C22" s="18" t="s">
        <v>292</v>
      </c>
      <c r="D22" s="19">
        <v>1860.14</v>
      </c>
      <c r="E22" s="19">
        <v>7815.44</v>
      </c>
      <c r="F22" s="20">
        <f t="shared" si="2"/>
        <v>-0.76199164730328672</v>
      </c>
      <c r="G22" s="21">
        <v>274</v>
      </c>
      <c r="H22" s="22">
        <v>14</v>
      </c>
      <c r="I22" s="22">
        <f t="shared" si="3"/>
        <v>19.571428571428573</v>
      </c>
      <c r="J22" s="85">
        <v>2</v>
      </c>
      <c r="K22" s="22">
        <v>5</v>
      </c>
      <c r="L22" s="19">
        <v>71177.83</v>
      </c>
      <c r="M22" s="21">
        <v>10861</v>
      </c>
      <c r="N22" s="23">
        <v>45184</v>
      </c>
      <c r="O22" s="30" t="s">
        <v>40</v>
      </c>
      <c r="P22" s="77"/>
    </row>
    <row r="23" spans="1:16" s="27" customFormat="1" ht="25.5" customHeight="1" x14ac:dyDescent="0.2">
      <c r="A23" s="22">
        <v>21</v>
      </c>
      <c r="B23" s="21">
        <v>10</v>
      </c>
      <c r="C23" s="18" t="s">
        <v>283</v>
      </c>
      <c r="D23" s="19">
        <v>1828.8</v>
      </c>
      <c r="E23" s="19">
        <v>11491.82</v>
      </c>
      <c r="F23" s="20">
        <f t="shared" si="2"/>
        <v>-0.84086071657927119</v>
      </c>
      <c r="G23" s="21">
        <v>254</v>
      </c>
      <c r="H23" s="22">
        <v>7</v>
      </c>
      <c r="I23" s="22">
        <f t="shared" si="3"/>
        <v>36.285714285714285</v>
      </c>
      <c r="J23" s="85">
        <v>1</v>
      </c>
      <c r="K23" s="22">
        <v>6</v>
      </c>
      <c r="L23" s="19">
        <v>225071.98</v>
      </c>
      <c r="M23" s="21">
        <v>30851</v>
      </c>
      <c r="N23" s="23">
        <v>45177</v>
      </c>
      <c r="O23" s="30" t="s">
        <v>14</v>
      </c>
      <c r="P23" s="77"/>
    </row>
    <row r="24" spans="1:16" s="27" customFormat="1" ht="25.5" customHeight="1" x14ac:dyDescent="0.2">
      <c r="A24" s="22">
        <v>22</v>
      </c>
      <c r="B24" s="21">
        <v>20</v>
      </c>
      <c r="C24" s="18" t="s">
        <v>213</v>
      </c>
      <c r="D24" s="19">
        <v>1757.54</v>
      </c>
      <c r="E24" s="19">
        <v>2679.75</v>
      </c>
      <c r="F24" s="20">
        <f t="shared" si="2"/>
        <v>-0.34414031159623099</v>
      </c>
      <c r="G24" s="21">
        <v>302</v>
      </c>
      <c r="H24" s="22">
        <v>20</v>
      </c>
      <c r="I24" s="22">
        <f t="shared" si="3"/>
        <v>15.1</v>
      </c>
      <c r="J24" s="85">
        <v>3</v>
      </c>
      <c r="K24" s="22">
        <v>13</v>
      </c>
      <c r="L24" s="19">
        <v>1159510.1100000001</v>
      </c>
      <c r="M24" s="21">
        <v>176429</v>
      </c>
      <c r="N24" s="23">
        <v>45128</v>
      </c>
      <c r="O24" s="30" t="s">
        <v>14</v>
      </c>
      <c r="P24" s="77"/>
    </row>
    <row r="25" spans="1:16" s="27" customFormat="1" ht="25.5" customHeight="1" x14ac:dyDescent="0.2">
      <c r="A25" s="22">
        <v>23</v>
      </c>
      <c r="B25" s="21">
        <v>14</v>
      </c>
      <c r="C25" s="18" t="s">
        <v>181</v>
      </c>
      <c r="D25" s="19">
        <v>1750.65</v>
      </c>
      <c r="E25" s="19">
        <v>7355.84</v>
      </c>
      <c r="F25" s="20">
        <f t="shared" si="2"/>
        <v>-0.76200542698046725</v>
      </c>
      <c r="G25" s="21">
        <v>325</v>
      </c>
      <c r="H25" s="22">
        <v>16</v>
      </c>
      <c r="I25" s="22">
        <f t="shared" si="3"/>
        <v>20.3125</v>
      </c>
      <c r="J25" s="85">
        <v>2</v>
      </c>
      <c r="K25" s="22">
        <v>18</v>
      </c>
      <c r="L25" s="19">
        <v>511859.6</v>
      </c>
      <c r="M25" s="21">
        <v>100839</v>
      </c>
      <c r="N25" s="23">
        <v>45093</v>
      </c>
      <c r="O25" s="30" t="s">
        <v>40</v>
      </c>
      <c r="P25" s="77"/>
    </row>
    <row r="26" spans="1:16" s="27" customFormat="1" ht="25.5" customHeight="1" x14ac:dyDescent="0.2">
      <c r="A26" s="22">
        <v>24</v>
      </c>
      <c r="B26" s="21">
        <v>16</v>
      </c>
      <c r="C26" s="18" t="s">
        <v>274</v>
      </c>
      <c r="D26" s="19">
        <v>1335.32</v>
      </c>
      <c r="E26" s="19">
        <v>7002.18</v>
      </c>
      <c r="F26" s="20">
        <f t="shared" si="2"/>
        <v>-0.80929938961866166</v>
      </c>
      <c r="G26" s="21">
        <v>245</v>
      </c>
      <c r="H26" s="22">
        <v>16</v>
      </c>
      <c r="I26" s="22">
        <f t="shared" si="3"/>
        <v>15.3125</v>
      </c>
      <c r="J26" s="85">
        <v>3</v>
      </c>
      <c r="K26" s="22">
        <v>8</v>
      </c>
      <c r="L26" s="19">
        <v>123584.25</v>
      </c>
      <c r="M26" s="21">
        <v>24851</v>
      </c>
      <c r="N26" s="23">
        <v>45163</v>
      </c>
      <c r="O26" s="30" t="s">
        <v>16</v>
      </c>
      <c r="P26" s="77"/>
    </row>
    <row r="27" spans="1:16" s="27" customFormat="1" ht="25.5" customHeight="1" x14ac:dyDescent="0.2">
      <c r="A27" s="22">
        <v>25</v>
      </c>
      <c r="B27" s="21">
        <v>12</v>
      </c>
      <c r="C27" s="18" t="s">
        <v>239</v>
      </c>
      <c r="D27" s="19">
        <v>1016.46</v>
      </c>
      <c r="E27" s="19">
        <v>8577.82</v>
      </c>
      <c r="F27" s="20">
        <f t="shared" si="2"/>
        <v>-0.88150136048553129</v>
      </c>
      <c r="G27" s="21">
        <v>161</v>
      </c>
      <c r="H27" s="22">
        <v>11</v>
      </c>
      <c r="I27" s="22">
        <f t="shared" si="3"/>
        <v>14.636363636363637</v>
      </c>
      <c r="J27" s="85">
        <v>1</v>
      </c>
      <c r="K27" s="22">
        <v>10</v>
      </c>
      <c r="L27" s="19">
        <v>238447.93</v>
      </c>
      <c r="M27" s="21">
        <v>37886</v>
      </c>
      <c r="N27" s="23">
        <v>45149</v>
      </c>
      <c r="O27" s="30" t="s">
        <v>12</v>
      </c>
      <c r="P27" s="77"/>
    </row>
    <row r="28" spans="1:16" s="27" customFormat="1" ht="25.5" customHeight="1" x14ac:dyDescent="0.2">
      <c r="A28" s="22">
        <v>26</v>
      </c>
      <c r="B28" s="21">
        <v>30</v>
      </c>
      <c r="C28" s="18" t="s">
        <v>280</v>
      </c>
      <c r="D28" s="19">
        <v>998</v>
      </c>
      <c r="E28" s="19">
        <v>275</v>
      </c>
      <c r="F28" s="20">
        <f t="shared" si="2"/>
        <v>2.6290909090909089</v>
      </c>
      <c r="G28" s="21">
        <v>173</v>
      </c>
      <c r="H28" s="22" t="s">
        <v>18</v>
      </c>
      <c r="I28" s="22" t="s">
        <v>18</v>
      </c>
      <c r="J28" s="85">
        <v>1</v>
      </c>
      <c r="K28" s="22">
        <v>7</v>
      </c>
      <c r="L28" s="19">
        <v>41464</v>
      </c>
      <c r="M28" s="21">
        <v>8549</v>
      </c>
      <c r="N28" s="23">
        <v>45170</v>
      </c>
      <c r="O28" s="30" t="s">
        <v>15</v>
      </c>
      <c r="P28" s="77"/>
    </row>
    <row r="29" spans="1:16" s="27" customFormat="1" ht="25.5" customHeight="1" x14ac:dyDescent="0.2">
      <c r="A29" s="22">
        <v>27</v>
      </c>
      <c r="B29" s="21">
        <v>31</v>
      </c>
      <c r="C29" s="18" t="s">
        <v>264</v>
      </c>
      <c r="D29" s="19">
        <v>859.5</v>
      </c>
      <c r="E29" s="19">
        <v>181</v>
      </c>
      <c r="F29" s="20">
        <f t="shared" si="2"/>
        <v>3.7486187845303869</v>
      </c>
      <c r="G29" s="21">
        <v>181</v>
      </c>
      <c r="H29" s="22">
        <v>8</v>
      </c>
      <c r="I29" s="22">
        <f>G29/H29</f>
        <v>22.625</v>
      </c>
      <c r="J29" s="85">
        <v>5</v>
      </c>
      <c r="K29" s="22">
        <v>9</v>
      </c>
      <c r="L29" s="19">
        <v>41833.089999999997</v>
      </c>
      <c r="M29" s="21">
        <v>7358</v>
      </c>
      <c r="N29" s="23">
        <v>45156</v>
      </c>
      <c r="O29" s="30" t="s">
        <v>64</v>
      </c>
      <c r="P29" s="77"/>
    </row>
    <row r="30" spans="1:16" s="27" customFormat="1" ht="25.5" customHeight="1" x14ac:dyDescent="0.2">
      <c r="A30" s="22">
        <v>28</v>
      </c>
      <c r="B30" s="21" t="s">
        <v>31</v>
      </c>
      <c r="C30" s="7" t="s">
        <v>334</v>
      </c>
      <c r="D30" s="8">
        <v>434.1</v>
      </c>
      <c r="E30" s="20" t="s">
        <v>18</v>
      </c>
      <c r="F30" s="20" t="s">
        <v>18</v>
      </c>
      <c r="G30" s="10">
        <v>112</v>
      </c>
      <c r="H30" s="11">
        <v>1</v>
      </c>
      <c r="I30" s="11">
        <f>G30/H30</f>
        <v>112</v>
      </c>
      <c r="J30" s="86">
        <v>1</v>
      </c>
      <c r="K30" s="11">
        <v>0</v>
      </c>
      <c r="L30" s="19">
        <v>434.1</v>
      </c>
      <c r="M30" s="21">
        <v>112</v>
      </c>
      <c r="N30" s="12" t="s">
        <v>59</v>
      </c>
      <c r="O30" s="31" t="s">
        <v>335</v>
      </c>
      <c r="P30" s="77"/>
    </row>
    <row r="31" spans="1:16" s="27" customFormat="1" ht="25.5" customHeight="1" x14ac:dyDescent="0.2">
      <c r="A31" s="22">
        <v>29</v>
      </c>
      <c r="B31" s="21">
        <v>27</v>
      </c>
      <c r="C31" s="18" t="s">
        <v>289</v>
      </c>
      <c r="D31" s="74">
        <v>362</v>
      </c>
      <c r="E31" s="19">
        <v>545</v>
      </c>
      <c r="F31" s="20">
        <f>(D31-E31)/E31</f>
        <v>-0.33577981651376149</v>
      </c>
      <c r="G31" s="73">
        <v>78</v>
      </c>
      <c r="H31" s="22" t="s">
        <v>18</v>
      </c>
      <c r="I31" s="22" t="s">
        <v>18</v>
      </c>
      <c r="J31" s="85">
        <v>3</v>
      </c>
      <c r="K31" s="75">
        <v>6</v>
      </c>
      <c r="L31" s="74">
        <v>10280</v>
      </c>
      <c r="M31" s="73">
        <v>1991</v>
      </c>
      <c r="N31" s="23">
        <v>45177</v>
      </c>
      <c r="O31" s="30" t="s">
        <v>15</v>
      </c>
      <c r="P31" s="77"/>
    </row>
    <row r="32" spans="1:16" s="27" customFormat="1" ht="25.5" customHeight="1" x14ac:dyDescent="0.2">
      <c r="A32" s="22">
        <v>30</v>
      </c>
      <c r="B32" s="20" t="s">
        <v>18</v>
      </c>
      <c r="C32" s="18" t="s">
        <v>142</v>
      </c>
      <c r="D32" s="19">
        <v>246</v>
      </c>
      <c r="E32" s="19" t="s">
        <v>18</v>
      </c>
      <c r="F32" s="20" t="s">
        <v>18</v>
      </c>
      <c r="G32" s="21">
        <v>45</v>
      </c>
      <c r="H32" s="22">
        <v>1</v>
      </c>
      <c r="I32" s="22">
        <f>G32/H32</f>
        <v>45</v>
      </c>
      <c r="J32" s="85">
        <v>1</v>
      </c>
      <c r="K32" s="20" t="s">
        <v>18</v>
      </c>
      <c r="L32" s="19">
        <v>10062.4</v>
      </c>
      <c r="M32" s="21">
        <v>1757</v>
      </c>
      <c r="N32" s="23">
        <v>45065</v>
      </c>
      <c r="O32" s="30" t="s">
        <v>40</v>
      </c>
      <c r="P32" s="77"/>
    </row>
    <row r="33" spans="1:16383" s="27" customFormat="1" ht="25.5" customHeight="1" x14ac:dyDescent="0.2">
      <c r="A33" s="22">
        <v>31</v>
      </c>
      <c r="B33" s="21">
        <v>26</v>
      </c>
      <c r="C33" s="18" t="s">
        <v>261</v>
      </c>
      <c r="D33" s="19">
        <v>148.80000000000001</v>
      </c>
      <c r="E33" s="19">
        <v>573.20000000000005</v>
      </c>
      <c r="F33" s="20">
        <f>(D33-E33)/E33</f>
        <v>-0.74040474528960221</v>
      </c>
      <c r="G33" s="21">
        <v>21</v>
      </c>
      <c r="H33" s="22">
        <v>2</v>
      </c>
      <c r="I33" s="22">
        <f>G33/H33</f>
        <v>10.5</v>
      </c>
      <c r="J33" s="85">
        <v>1</v>
      </c>
      <c r="K33" s="22">
        <v>9</v>
      </c>
      <c r="L33" s="19">
        <v>7883.8</v>
      </c>
      <c r="M33" s="21">
        <v>1249</v>
      </c>
      <c r="N33" s="23">
        <v>45156</v>
      </c>
      <c r="O33" s="30" t="s">
        <v>30</v>
      </c>
      <c r="P33" s="77"/>
    </row>
    <row r="34" spans="1:16383" s="27" customFormat="1" ht="25.5" customHeight="1" x14ac:dyDescent="0.2">
      <c r="A34" s="22">
        <v>32</v>
      </c>
      <c r="B34" s="20" t="s">
        <v>18</v>
      </c>
      <c r="C34" s="18" t="s">
        <v>34</v>
      </c>
      <c r="D34" s="19">
        <v>89.97</v>
      </c>
      <c r="E34" s="20" t="s">
        <v>18</v>
      </c>
      <c r="F34" s="20" t="s">
        <v>18</v>
      </c>
      <c r="G34" s="21">
        <v>26</v>
      </c>
      <c r="H34" s="22">
        <v>1</v>
      </c>
      <c r="I34" s="22">
        <f>G34/H34</f>
        <v>26</v>
      </c>
      <c r="J34" s="85">
        <v>1</v>
      </c>
      <c r="K34" s="20" t="s">
        <v>18</v>
      </c>
      <c r="L34" s="19">
        <v>74223.98000000001</v>
      </c>
      <c r="M34" s="21">
        <v>15814</v>
      </c>
      <c r="N34" s="23">
        <v>44981</v>
      </c>
      <c r="O34" s="35" t="s">
        <v>16</v>
      </c>
      <c r="P34" s="77"/>
    </row>
    <row r="35" spans="1:16383" s="27" customFormat="1" ht="25.5" customHeight="1" x14ac:dyDescent="0.2">
      <c r="A35" s="22">
        <v>33</v>
      </c>
      <c r="B35" s="21">
        <v>24</v>
      </c>
      <c r="C35" s="18" t="s">
        <v>308</v>
      </c>
      <c r="D35" s="19">
        <v>43</v>
      </c>
      <c r="E35" s="19">
        <v>603.6</v>
      </c>
      <c r="F35" s="20">
        <f>(D35-E35)/E35</f>
        <v>-0.92876076872100732</v>
      </c>
      <c r="G35" s="21">
        <v>8</v>
      </c>
      <c r="H35" s="22">
        <v>1</v>
      </c>
      <c r="I35" s="22">
        <f>G35/H35</f>
        <v>8</v>
      </c>
      <c r="J35" s="85">
        <v>1</v>
      </c>
      <c r="K35" s="22">
        <v>4</v>
      </c>
      <c r="L35" s="19">
        <v>5196.03</v>
      </c>
      <c r="M35" s="21">
        <v>1247</v>
      </c>
      <c r="N35" s="23">
        <v>45191</v>
      </c>
      <c r="O35" s="30" t="s">
        <v>30</v>
      </c>
      <c r="P35" s="77"/>
    </row>
    <row r="36" spans="1:16383" s="27" customFormat="1" ht="25.5" customHeight="1" x14ac:dyDescent="0.2">
      <c r="A36" s="22">
        <v>34</v>
      </c>
      <c r="B36" s="21">
        <v>33</v>
      </c>
      <c r="C36" s="18" t="s">
        <v>303</v>
      </c>
      <c r="D36" s="19">
        <v>21.5</v>
      </c>
      <c r="E36" s="19">
        <v>32</v>
      </c>
      <c r="F36" s="20">
        <f>(D36-E36)/E36</f>
        <v>-0.328125</v>
      </c>
      <c r="G36" s="21">
        <v>6</v>
      </c>
      <c r="H36" s="22">
        <v>2</v>
      </c>
      <c r="I36" s="22">
        <f>G36/H36</f>
        <v>3</v>
      </c>
      <c r="J36" s="85">
        <v>1</v>
      </c>
      <c r="K36" s="22">
        <v>4</v>
      </c>
      <c r="L36" s="19">
        <v>142.4</v>
      </c>
      <c r="M36" s="21">
        <v>41</v>
      </c>
      <c r="N36" s="23">
        <v>45191</v>
      </c>
      <c r="O36" s="30" t="s">
        <v>48</v>
      </c>
      <c r="P36" s="77"/>
    </row>
    <row r="37" spans="1:16383" s="45" customFormat="1" ht="24.95" customHeight="1" x14ac:dyDescent="0.2">
      <c r="A37" s="67"/>
      <c r="B37" s="43"/>
      <c r="C37" s="46" t="s">
        <v>325</v>
      </c>
      <c r="D37" s="47">
        <f>SUBTOTAL(109,Table13245879101112131415161718192021222326242527[Pajamos 
(GBO)])</f>
        <v>383990.75999999978</v>
      </c>
      <c r="E37" s="47" t="s">
        <v>328</v>
      </c>
      <c r="F37" s="42">
        <f t="shared" ref="F37" si="4">(D37-E37)/E37</f>
        <v>-3.8263121512368194E-2</v>
      </c>
      <c r="G37" s="43">
        <f>SUBTOTAL(109,Table13245879101112131415161718192021222326242527[Žiūrovų sk. 
(ADM)])</f>
        <v>62478</v>
      </c>
      <c r="H37" s="51"/>
      <c r="I37" s="51"/>
      <c r="J37" s="51"/>
      <c r="K37" s="46"/>
      <c r="L37" s="53"/>
      <c r="M37" s="55"/>
      <c r="N37" s="60"/>
      <c r="O37" s="80"/>
    </row>
    <row r="38" spans="1:16383" ht="11.25" hidden="1" x14ac:dyDescent="0.15">
      <c r="A38" s="38"/>
      <c r="B38" s="56"/>
      <c r="K38" s="1"/>
    </row>
    <row r="39" spans="1:16383" ht="11.25" hidden="1" x14ac:dyDescent="0.15">
      <c r="A39" s="38"/>
      <c r="B39" s="56"/>
      <c r="K39" s="1"/>
    </row>
    <row r="40" spans="1:16383" ht="11.25" hidden="1" x14ac:dyDescent="0.15">
      <c r="A40" s="38"/>
      <c r="B40" s="56"/>
      <c r="K40" s="1"/>
    </row>
    <row r="41" spans="1:16383" ht="11.25" hidden="1" x14ac:dyDescent="0.15">
      <c r="A41" s="38"/>
      <c r="B41" s="56"/>
      <c r="K41" s="1"/>
    </row>
    <row r="42" spans="1:16383" ht="11.25" hidden="1" x14ac:dyDescent="0.15">
      <c r="A42" s="38"/>
      <c r="B42" s="56"/>
      <c r="K42" s="1"/>
    </row>
    <row r="43" spans="1:16383" ht="11.25" hidden="1" x14ac:dyDescent="0.15">
      <c r="A43" s="38"/>
      <c r="B43" s="56"/>
      <c r="K43" s="1"/>
    </row>
    <row r="44" spans="1:16383" s="37" customFormat="1" ht="11.25" hidden="1" x14ac:dyDescent="0.15">
      <c r="A44" s="38"/>
      <c r="B44" s="56"/>
      <c r="C44" s="1"/>
      <c r="F44" s="58"/>
      <c r="G44" s="56"/>
      <c r="H44" s="38"/>
      <c r="I44" s="38"/>
      <c r="J44" s="38"/>
      <c r="K44" s="1"/>
      <c r="M44" s="56"/>
      <c r="N44" s="39"/>
      <c r="O44" s="8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  <c r="XFA44" s="1"/>
      <c r="XFB44" s="1"/>
      <c r="XFC44" s="1"/>
    </row>
    <row r="45" spans="1:16383" s="37" customFormat="1" ht="11.25" hidden="1" x14ac:dyDescent="0.15">
      <c r="A45" s="38"/>
      <c r="B45" s="56"/>
      <c r="C45" s="1"/>
      <c r="F45" s="58"/>
      <c r="G45" s="56"/>
      <c r="H45" s="38"/>
      <c r="I45" s="38"/>
      <c r="J45" s="38"/>
      <c r="K45" s="1"/>
      <c r="M45" s="56"/>
      <c r="N45" s="39"/>
      <c r="O45" s="8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  <c r="XFA45" s="1"/>
      <c r="XFB45" s="1"/>
      <c r="XFC45" s="1"/>
    </row>
    <row r="46" spans="1:16383" s="37" customFormat="1" ht="11.25" hidden="1" x14ac:dyDescent="0.15">
      <c r="A46" s="38"/>
      <c r="B46" s="56"/>
      <c r="C46" s="1"/>
      <c r="F46" s="58"/>
      <c r="G46" s="56"/>
      <c r="H46" s="38"/>
      <c r="I46" s="38"/>
      <c r="J46" s="38"/>
      <c r="K46" s="1"/>
      <c r="M46" s="56"/>
      <c r="N46" s="39"/>
      <c r="O46" s="8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  <c r="XFA46" s="1"/>
      <c r="XFB46" s="1"/>
      <c r="XFC46" s="1"/>
    </row>
    <row r="47" spans="1:16383" s="37" customFormat="1" ht="11.25" hidden="1" x14ac:dyDescent="0.15">
      <c r="A47" s="38"/>
      <c r="B47" s="56"/>
      <c r="C47" s="1"/>
      <c r="F47" s="58"/>
      <c r="G47" s="56"/>
      <c r="H47" s="38"/>
      <c r="I47" s="38"/>
      <c r="J47" s="38"/>
      <c r="K47" s="1"/>
      <c r="M47" s="56"/>
      <c r="N47" s="39"/>
      <c r="O47" s="8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  <c r="XFC47" s="1"/>
    </row>
    <row r="48" spans="1:16383" s="37" customFormat="1" ht="11.25" hidden="1" x14ac:dyDescent="0.15">
      <c r="A48" s="38"/>
      <c r="B48" s="56"/>
      <c r="C48" s="1"/>
      <c r="F48" s="58"/>
      <c r="G48" s="56"/>
      <c r="H48" s="38"/>
      <c r="I48" s="38"/>
      <c r="J48" s="38"/>
      <c r="K48" s="1"/>
      <c r="M48" s="56"/>
      <c r="N48" s="39"/>
      <c r="O48" s="8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</row>
    <row r="49" spans="1:16383" s="37" customFormat="1" ht="11.25" hidden="1" x14ac:dyDescent="0.15">
      <c r="A49" s="38"/>
      <c r="B49" s="56"/>
      <c r="C49" s="1"/>
      <c r="F49" s="58"/>
      <c r="G49" s="56"/>
      <c r="H49" s="38"/>
      <c r="I49" s="38"/>
      <c r="J49" s="38"/>
      <c r="K49" s="1"/>
      <c r="M49" s="56"/>
      <c r="N49" s="39"/>
      <c r="O49" s="8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B51B2A-FDC1-4CBC-BE0E-794D40378604}">
  <sheetPr>
    <pageSetUpPr fitToPage="1"/>
  </sheetPr>
  <dimension ref="A1:XFC51"/>
  <sheetViews>
    <sheetView topLeftCell="A7" zoomScale="60" zoomScaleNormal="60" workbookViewId="0">
      <selection activeCell="C35" sqref="C35:O35"/>
    </sheetView>
  </sheetViews>
  <sheetFormatPr defaultColWidth="0" defaultRowHeight="11.25" zeroHeight="1" x14ac:dyDescent="0.15"/>
  <cols>
    <col min="1" max="1" width="4.7109375" style="66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8" width="20.7109375" style="56" customWidth="1"/>
    <col min="9" max="9" width="20.7109375" style="1" customWidth="1"/>
    <col min="10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176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4" t="s">
        <v>4</v>
      </c>
      <c r="I2" s="15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5" customHeight="1" x14ac:dyDescent="0.2">
      <c r="A3" s="17">
        <v>1</v>
      </c>
      <c r="B3" s="17">
        <v>1</v>
      </c>
      <c r="C3" s="25" t="s">
        <v>151</v>
      </c>
      <c r="D3" s="19">
        <v>69638.83</v>
      </c>
      <c r="E3" s="19">
        <v>88443.99</v>
      </c>
      <c r="F3" s="20">
        <f>(D3-E3)/E3</f>
        <v>-0.21262224827260737</v>
      </c>
      <c r="G3" s="21">
        <v>11454</v>
      </c>
      <c r="H3" s="21">
        <v>287</v>
      </c>
      <c r="I3" s="22">
        <f t="shared" ref="I3:I23" si="0">G3/H3</f>
        <v>39.909407665505228</v>
      </c>
      <c r="J3" s="22">
        <v>17</v>
      </c>
      <c r="K3" s="22">
        <v>2</v>
      </c>
      <c r="L3" s="19">
        <v>171294.31</v>
      </c>
      <c r="M3" s="21">
        <v>28153</v>
      </c>
      <c r="N3" s="23">
        <v>45079</v>
      </c>
      <c r="O3" s="36" t="s">
        <v>12</v>
      </c>
    </row>
    <row r="4" spans="1:18" s="24" customFormat="1" ht="25.9" customHeight="1" x14ac:dyDescent="0.2">
      <c r="A4" s="17">
        <v>2</v>
      </c>
      <c r="B4" s="17" t="s">
        <v>31</v>
      </c>
      <c r="C4" s="25" t="s">
        <v>173</v>
      </c>
      <c r="D4" s="19">
        <v>64280.99</v>
      </c>
      <c r="E4" s="20" t="s">
        <v>18</v>
      </c>
      <c r="F4" s="20" t="s">
        <v>18</v>
      </c>
      <c r="G4" s="21">
        <v>8995</v>
      </c>
      <c r="H4" s="21">
        <v>385</v>
      </c>
      <c r="I4" s="22">
        <f t="shared" si="0"/>
        <v>23.363636363636363</v>
      </c>
      <c r="J4" s="22">
        <v>24</v>
      </c>
      <c r="K4" s="22">
        <v>1</v>
      </c>
      <c r="L4" s="19">
        <v>69214.880000000005</v>
      </c>
      <c r="M4" s="21">
        <v>9668</v>
      </c>
      <c r="N4" s="23">
        <v>45086</v>
      </c>
      <c r="O4" s="30" t="s">
        <v>180</v>
      </c>
    </row>
    <row r="5" spans="1:18" s="24" customFormat="1" ht="25.9" customHeight="1" x14ac:dyDescent="0.2">
      <c r="A5" s="17">
        <v>3</v>
      </c>
      <c r="B5" s="17">
        <v>2</v>
      </c>
      <c r="C5" s="25" t="s">
        <v>132</v>
      </c>
      <c r="D5" s="19">
        <v>21345.599999999999</v>
      </c>
      <c r="E5" s="19">
        <v>50546.74</v>
      </c>
      <c r="F5" s="20">
        <f>(D5-E5)/E5</f>
        <v>-0.57770570367149299</v>
      </c>
      <c r="G5" s="21">
        <v>3215</v>
      </c>
      <c r="H5" s="21">
        <v>147</v>
      </c>
      <c r="I5" s="22">
        <f t="shared" si="0"/>
        <v>21.870748299319729</v>
      </c>
      <c r="J5" s="22">
        <v>11</v>
      </c>
      <c r="K5" s="22">
        <v>4</v>
      </c>
      <c r="L5" s="19">
        <v>308573.88</v>
      </c>
      <c r="M5" s="21">
        <v>42077</v>
      </c>
      <c r="N5" s="23">
        <v>45065</v>
      </c>
      <c r="O5" s="30" t="s">
        <v>179</v>
      </c>
      <c r="R5" s="17"/>
    </row>
    <row r="6" spans="1:18" s="24" customFormat="1" ht="25.9" customHeight="1" x14ac:dyDescent="0.2">
      <c r="A6" s="17">
        <v>4</v>
      </c>
      <c r="B6" s="17" t="s">
        <v>31</v>
      </c>
      <c r="C6" s="25" t="s">
        <v>174</v>
      </c>
      <c r="D6" s="19">
        <v>20199.78</v>
      </c>
      <c r="E6" s="20" t="s">
        <v>18</v>
      </c>
      <c r="F6" s="20" t="s">
        <v>18</v>
      </c>
      <c r="G6" s="21">
        <v>3190</v>
      </c>
      <c r="H6" s="21">
        <v>184</v>
      </c>
      <c r="I6" s="22">
        <f t="shared" si="0"/>
        <v>17.336956521739129</v>
      </c>
      <c r="J6" s="22">
        <v>18</v>
      </c>
      <c r="K6" s="22">
        <v>1</v>
      </c>
      <c r="L6" s="19">
        <v>21025.45</v>
      </c>
      <c r="M6" s="21">
        <v>3324</v>
      </c>
      <c r="N6" s="23">
        <v>45086</v>
      </c>
      <c r="O6" s="30" t="s">
        <v>179</v>
      </c>
      <c r="R6" s="17"/>
    </row>
    <row r="7" spans="1:18" s="24" customFormat="1" ht="25.9" customHeight="1" x14ac:dyDescent="0.2">
      <c r="A7" s="17">
        <v>5</v>
      </c>
      <c r="B7" s="17">
        <v>3</v>
      </c>
      <c r="C7" s="18" t="s">
        <v>143</v>
      </c>
      <c r="D7" s="19">
        <v>15824.64</v>
      </c>
      <c r="E7" s="19">
        <v>22770.080000000002</v>
      </c>
      <c r="F7" s="20">
        <f>(D7-E7)/E7</f>
        <v>-0.30502483961409016</v>
      </c>
      <c r="G7" s="21">
        <v>2956</v>
      </c>
      <c r="H7" s="21">
        <v>123</v>
      </c>
      <c r="I7" s="22">
        <f t="shared" si="0"/>
        <v>24.032520325203251</v>
      </c>
      <c r="J7" s="22">
        <v>11</v>
      </c>
      <c r="K7" s="22">
        <v>3</v>
      </c>
      <c r="L7" s="19">
        <v>62807.28</v>
      </c>
      <c r="M7" s="21">
        <v>11873</v>
      </c>
      <c r="N7" s="23">
        <v>45072</v>
      </c>
      <c r="O7" s="30" t="s">
        <v>40</v>
      </c>
      <c r="R7" s="17"/>
    </row>
    <row r="8" spans="1:18" s="24" customFormat="1" ht="25.9" customHeight="1" x14ac:dyDescent="0.2">
      <c r="A8" s="17">
        <v>6</v>
      </c>
      <c r="B8" s="17">
        <v>5</v>
      </c>
      <c r="C8" s="18" t="s">
        <v>11</v>
      </c>
      <c r="D8" s="19">
        <v>15234.5</v>
      </c>
      <c r="E8" s="19">
        <v>20166.810000000001</v>
      </c>
      <c r="F8" s="20">
        <f>(D8-E8)/E8</f>
        <v>-0.24457561706586223</v>
      </c>
      <c r="G8" s="21">
        <v>3082</v>
      </c>
      <c r="H8" s="21">
        <v>138</v>
      </c>
      <c r="I8" s="22">
        <f t="shared" si="0"/>
        <v>22.333333333333332</v>
      </c>
      <c r="J8" s="22">
        <v>12</v>
      </c>
      <c r="K8" s="22">
        <v>10</v>
      </c>
      <c r="L8" s="19">
        <v>559128.86</v>
      </c>
      <c r="M8" s="21">
        <v>102283</v>
      </c>
      <c r="N8" s="23">
        <v>45023</v>
      </c>
      <c r="O8" s="30" t="s">
        <v>179</v>
      </c>
      <c r="R8" s="17"/>
    </row>
    <row r="9" spans="1:18" s="24" customFormat="1" ht="25.9" customHeight="1" x14ac:dyDescent="0.2">
      <c r="A9" s="17">
        <v>7</v>
      </c>
      <c r="B9" s="17">
        <v>4</v>
      </c>
      <c r="C9" s="25" t="s">
        <v>171</v>
      </c>
      <c r="D9" s="19">
        <v>13676.82</v>
      </c>
      <c r="E9" s="19">
        <v>22691.87</v>
      </c>
      <c r="F9" s="20">
        <f>(D9-E9)/E9</f>
        <v>-0.39728105264132041</v>
      </c>
      <c r="G9" s="21">
        <v>2002</v>
      </c>
      <c r="H9" s="21">
        <v>71</v>
      </c>
      <c r="I9" s="22">
        <f t="shared" si="0"/>
        <v>28.197183098591548</v>
      </c>
      <c r="J9" s="22">
        <v>11</v>
      </c>
      <c r="K9" s="22">
        <v>2</v>
      </c>
      <c r="L9" s="19">
        <v>36368.69</v>
      </c>
      <c r="M9" s="21">
        <v>5625</v>
      </c>
      <c r="N9" s="23">
        <v>45079</v>
      </c>
      <c r="O9" s="30" t="s">
        <v>40</v>
      </c>
      <c r="R9" s="17"/>
    </row>
    <row r="10" spans="1:18" s="24" customFormat="1" ht="25.9" customHeight="1" x14ac:dyDescent="0.2">
      <c r="A10" s="17">
        <v>8</v>
      </c>
      <c r="B10" s="17">
        <v>6</v>
      </c>
      <c r="C10" s="25" t="s">
        <v>97</v>
      </c>
      <c r="D10" s="19">
        <v>9988.76</v>
      </c>
      <c r="E10" s="19">
        <v>17359.09</v>
      </c>
      <c r="F10" s="20">
        <f>(D10-E10)/E10</f>
        <v>-0.42458043595603223</v>
      </c>
      <c r="G10" s="21">
        <v>1536</v>
      </c>
      <c r="H10" s="21">
        <v>80</v>
      </c>
      <c r="I10" s="22">
        <f t="shared" si="0"/>
        <v>19.2</v>
      </c>
      <c r="J10" s="22">
        <v>8</v>
      </c>
      <c r="K10" s="22">
        <v>6</v>
      </c>
      <c r="L10" s="19">
        <v>263206.3</v>
      </c>
      <c r="M10" s="21">
        <v>36846</v>
      </c>
      <c r="N10" s="23">
        <v>45051</v>
      </c>
      <c r="O10" s="36" t="s">
        <v>40</v>
      </c>
      <c r="R10" s="17"/>
    </row>
    <row r="11" spans="1:18" s="24" customFormat="1" ht="25.9" customHeight="1" x14ac:dyDescent="0.2">
      <c r="A11" s="17">
        <v>9</v>
      </c>
      <c r="B11" s="22" t="s">
        <v>57</v>
      </c>
      <c r="C11" s="25" t="s">
        <v>178</v>
      </c>
      <c r="D11" s="19">
        <v>6176.34</v>
      </c>
      <c r="E11" s="20" t="s">
        <v>18</v>
      </c>
      <c r="F11" s="20" t="s">
        <v>18</v>
      </c>
      <c r="G11" s="21">
        <v>957</v>
      </c>
      <c r="H11" s="21">
        <v>38</v>
      </c>
      <c r="I11" s="22">
        <f t="shared" si="0"/>
        <v>25.184210526315791</v>
      </c>
      <c r="J11" s="22">
        <v>10</v>
      </c>
      <c r="K11" s="22">
        <v>0</v>
      </c>
      <c r="L11" s="19">
        <v>6176.34</v>
      </c>
      <c r="M11" s="21">
        <v>957</v>
      </c>
      <c r="N11" s="23" t="s">
        <v>59</v>
      </c>
      <c r="O11" s="35" t="s">
        <v>14</v>
      </c>
      <c r="R11" s="17"/>
    </row>
    <row r="12" spans="1:18" s="24" customFormat="1" ht="25.9" customHeight="1" x14ac:dyDescent="0.2">
      <c r="A12" s="17">
        <v>10</v>
      </c>
      <c r="B12" s="22" t="s">
        <v>57</v>
      </c>
      <c r="C12" s="13" t="s">
        <v>181</v>
      </c>
      <c r="D12" s="8">
        <v>5126.7299999999996</v>
      </c>
      <c r="E12" s="20" t="s">
        <v>18</v>
      </c>
      <c r="F12" s="20" t="s">
        <v>18</v>
      </c>
      <c r="G12" s="10">
        <v>1093</v>
      </c>
      <c r="H12" s="10">
        <v>12</v>
      </c>
      <c r="I12" s="22">
        <f t="shared" si="0"/>
        <v>91.083333333333329</v>
      </c>
      <c r="J12" s="11">
        <v>10</v>
      </c>
      <c r="K12" s="22">
        <v>0</v>
      </c>
      <c r="L12" s="19">
        <v>5126.7299999999996</v>
      </c>
      <c r="M12" s="21">
        <v>1093</v>
      </c>
      <c r="N12" s="23" t="s">
        <v>59</v>
      </c>
      <c r="O12" s="30" t="s">
        <v>40</v>
      </c>
      <c r="R12" s="17"/>
    </row>
    <row r="13" spans="1:18" s="24" customFormat="1" ht="25.9" customHeight="1" x14ac:dyDescent="0.2">
      <c r="A13" s="17">
        <v>11</v>
      </c>
      <c r="B13" s="17" t="s">
        <v>31</v>
      </c>
      <c r="C13" s="25" t="s">
        <v>169</v>
      </c>
      <c r="D13" s="19">
        <v>3522.94</v>
      </c>
      <c r="E13" s="20" t="s">
        <v>18</v>
      </c>
      <c r="F13" s="20" t="s">
        <v>18</v>
      </c>
      <c r="G13" s="21">
        <v>538</v>
      </c>
      <c r="H13" s="21">
        <v>105</v>
      </c>
      <c r="I13" s="22">
        <f t="shared" si="0"/>
        <v>5.1238095238095234</v>
      </c>
      <c r="J13" s="22">
        <v>12</v>
      </c>
      <c r="K13" s="22">
        <v>1</v>
      </c>
      <c r="L13" s="19">
        <v>3670.74</v>
      </c>
      <c r="M13" s="21">
        <v>560</v>
      </c>
      <c r="N13" s="23">
        <v>45086</v>
      </c>
      <c r="O13" s="35" t="s">
        <v>170</v>
      </c>
      <c r="R13" s="17"/>
    </row>
    <row r="14" spans="1:18" s="24" customFormat="1" ht="25.9" customHeight="1" x14ac:dyDescent="0.2">
      <c r="A14" s="17">
        <v>12</v>
      </c>
      <c r="B14" s="17">
        <v>7</v>
      </c>
      <c r="C14" s="18" t="s">
        <v>50</v>
      </c>
      <c r="D14" s="19">
        <v>3447.59</v>
      </c>
      <c r="E14" s="19">
        <v>6267.01</v>
      </c>
      <c r="F14" s="20">
        <f>(D14-E14)/E14</f>
        <v>-0.44988279897431149</v>
      </c>
      <c r="G14" s="21">
        <v>744</v>
      </c>
      <c r="H14" s="21">
        <v>64</v>
      </c>
      <c r="I14" s="22">
        <f t="shared" si="0"/>
        <v>11.625</v>
      </c>
      <c r="J14" s="22">
        <v>7</v>
      </c>
      <c r="K14" s="22">
        <v>8</v>
      </c>
      <c r="L14" s="19">
        <v>243059</v>
      </c>
      <c r="M14" s="21">
        <v>48348</v>
      </c>
      <c r="N14" s="23">
        <v>45037</v>
      </c>
      <c r="O14" s="30" t="s">
        <v>51</v>
      </c>
      <c r="R14" s="17"/>
    </row>
    <row r="15" spans="1:18" s="24" customFormat="1" ht="25.9" customHeight="1" x14ac:dyDescent="0.2">
      <c r="A15" s="17">
        <v>13</v>
      </c>
      <c r="B15" s="17">
        <v>12</v>
      </c>
      <c r="C15" s="18" t="s">
        <v>90</v>
      </c>
      <c r="D15" s="19">
        <v>3037.09</v>
      </c>
      <c r="E15" s="19">
        <v>3781.5</v>
      </c>
      <c r="F15" s="20">
        <f>(D15-E15)/E15</f>
        <v>-0.19685574507470577</v>
      </c>
      <c r="G15" s="21">
        <v>625</v>
      </c>
      <c r="H15" s="21">
        <v>29</v>
      </c>
      <c r="I15" s="22">
        <f t="shared" si="0"/>
        <v>21.551724137931036</v>
      </c>
      <c r="J15" s="22">
        <v>3</v>
      </c>
      <c r="K15" s="22">
        <v>7</v>
      </c>
      <c r="L15" s="19">
        <v>42095.679999999993</v>
      </c>
      <c r="M15" s="21">
        <v>8436</v>
      </c>
      <c r="N15" s="23">
        <v>45044</v>
      </c>
      <c r="O15" s="30" t="s">
        <v>16</v>
      </c>
      <c r="R15" s="17"/>
    </row>
    <row r="16" spans="1:18" s="24" customFormat="1" ht="25.9" customHeight="1" x14ac:dyDescent="0.2">
      <c r="A16" s="17">
        <v>14</v>
      </c>
      <c r="B16" s="17">
        <v>13</v>
      </c>
      <c r="C16" s="25" t="s">
        <v>127</v>
      </c>
      <c r="D16" s="19">
        <v>2118.87</v>
      </c>
      <c r="E16" s="19">
        <v>3533.04</v>
      </c>
      <c r="F16" s="20">
        <f>(D16-E16)/E16</f>
        <v>-0.40027002241695542</v>
      </c>
      <c r="G16" s="21">
        <v>462</v>
      </c>
      <c r="H16" s="21">
        <v>27</v>
      </c>
      <c r="I16" s="22">
        <f t="shared" si="0"/>
        <v>17.111111111111111</v>
      </c>
      <c r="J16" s="22">
        <v>5</v>
      </c>
      <c r="K16" s="22">
        <v>5</v>
      </c>
      <c r="L16" s="19">
        <v>30362.6</v>
      </c>
      <c r="M16" s="21">
        <v>6511</v>
      </c>
      <c r="N16" s="23">
        <v>45058</v>
      </c>
      <c r="O16" s="36" t="s">
        <v>13</v>
      </c>
      <c r="R16" s="17"/>
    </row>
    <row r="17" spans="1:19" s="24" customFormat="1" ht="25.9" customHeight="1" x14ac:dyDescent="0.2">
      <c r="A17" s="17">
        <v>15</v>
      </c>
      <c r="B17" s="17">
        <v>16</v>
      </c>
      <c r="C17" s="25" t="s">
        <v>147</v>
      </c>
      <c r="D17" s="19">
        <v>1933.38</v>
      </c>
      <c r="E17" s="19">
        <v>1477.9</v>
      </c>
      <c r="F17" s="20">
        <f>(D17-E17)/E17</f>
        <v>0.30819405913796605</v>
      </c>
      <c r="G17" s="21">
        <v>461</v>
      </c>
      <c r="H17" s="22">
        <v>27</v>
      </c>
      <c r="I17" s="22">
        <f t="shared" si="0"/>
        <v>17.074074074074073</v>
      </c>
      <c r="J17" s="21">
        <v>6</v>
      </c>
      <c r="K17" s="22">
        <v>3</v>
      </c>
      <c r="L17" s="19">
        <v>6329.65</v>
      </c>
      <c r="M17" s="21">
        <v>1527</v>
      </c>
      <c r="N17" s="23">
        <v>45072</v>
      </c>
      <c r="O17" s="35" t="s">
        <v>30</v>
      </c>
      <c r="R17" s="17"/>
    </row>
    <row r="18" spans="1:19" s="27" customFormat="1" ht="25.9" customHeight="1" x14ac:dyDescent="0.15">
      <c r="A18" s="17">
        <v>16</v>
      </c>
      <c r="B18" s="17">
        <v>14</v>
      </c>
      <c r="C18" s="25" t="s">
        <v>116</v>
      </c>
      <c r="D18" s="19">
        <v>1246.9799999999996</v>
      </c>
      <c r="E18" s="19">
        <v>3270.9299999999994</v>
      </c>
      <c r="F18" s="20">
        <f>(D18-E18)/E18</f>
        <v>-0.61876897396153396</v>
      </c>
      <c r="G18" s="21">
        <v>360</v>
      </c>
      <c r="H18" s="21">
        <v>3</v>
      </c>
      <c r="I18" s="22">
        <f t="shared" si="0"/>
        <v>120</v>
      </c>
      <c r="J18" s="22">
        <v>2</v>
      </c>
      <c r="K18" s="22">
        <v>6</v>
      </c>
      <c r="L18" s="19">
        <v>23422.210000000003</v>
      </c>
      <c r="M18" s="21">
        <v>5582</v>
      </c>
      <c r="N18" s="23">
        <v>45051</v>
      </c>
      <c r="O18" s="30" t="s">
        <v>117</v>
      </c>
      <c r="R18" s="17"/>
      <c r="S18" s="24"/>
    </row>
    <row r="19" spans="1:19" s="27" customFormat="1" ht="25.9" customHeight="1" x14ac:dyDescent="0.15">
      <c r="A19" s="17">
        <v>17</v>
      </c>
      <c r="B19" s="22" t="s">
        <v>18</v>
      </c>
      <c r="C19" s="13" t="s">
        <v>182</v>
      </c>
      <c r="D19" s="8">
        <v>1169.8900000000001</v>
      </c>
      <c r="E19" s="8" t="s">
        <v>18</v>
      </c>
      <c r="F19" s="20" t="s">
        <v>18</v>
      </c>
      <c r="G19" s="10">
        <v>286</v>
      </c>
      <c r="H19" s="10">
        <v>7</v>
      </c>
      <c r="I19" s="22">
        <f t="shared" si="0"/>
        <v>40.857142857142854</v>
      </c>
      <c r="J19" s="11">
        <v>1</v>
      </c>
      <c r="K19" s="11" t="s">
        <v>18</v>
      </c>
      <c r="L19" s="19">
        <v>185531.6</v>
      </c>
      <c r="M19" s="21">
        <v>36922</v>
      </c>
      <c r="N19" s="12">
        <v>44568</v>
      </c>
      <c r="O19" s="31" t="s">
        <v>180</v>
      </c>
    </row>
    <row r="20" spans="1:19" s="27" customFormat="1" ht="25.9" customHeight="1" x14ac:dyDescent="0.15">
      <c r="A20" s="17">
        <v>18</v>
      </c>
      <c r="B20" s="17">
        <v>11</v>
      </c>
      <c r="C20" s="25" t="s">
        <v>146</v>
      </c>
      <c r="D20" s="19">
        <v>1157.4000000000001</v>
      </c>
      <c r="E20" s="19">
        <v>4795.72</v>
      </c>
      <c r="F20" s="20">
        <f t="shared" ref="F20:F27" si="1">(D20-E20)/E20</f>
        <v>-0.75865980499278518</v>
      </c>
      <c r="G20" s="21">
        <v>182</v>
      </c>
      <c r="H20" s="21">
        <v>28</v>
      </c>
      <c r="I20" s="22">
        <f t="shared" si="0"/>
        <v>6.5</v>
      </c>
      <c r="J20" s="22">
        <v>6</v>
      </c>
      <c r="K20" s="22">
        <v>2</v>
      </c>
      <c r="L20" s="19">
        <v>6926.7199999999993</v>
      </c>
      <c r="M20" s="21">
        <v>1076</v>
      </c>
      <c r="N20" s="23">
        <v>45079</v>
      </c>
      <c r="O20" s="30" t="s">
        <v>16</v>
      </c>
    </row>
    <row r="21" spans="1:19" s="27" customFormat="1" ht="25.9" customHeight="1" x14ac:dyDescent="0.15">
      <c r="A21" s="17">
        <v>19</v>
      </c>
      <c r="B21" s="17">
        <v>19</v>
      </c>
      <c r="C21" s="25" t="s">
        <v>142</v>
      </c>
      <c r="D21" s="19">
        <v>1103.55</v>
      </c>
      <c r="E21" s="19">
        <v>1107.4000000000001</v>
      </c>
      <c r="F21" s="20">
        <f t="shared" si="1"/>
        <v>-3.4766118836916525E-3</v>
      </c>
      <c r="G21" s="21">
        <v>184</v>
      </c>
      <c r="H21" s="21">
        <v>13</v>
      </c>
      <c r="I21" s="22">
        <f t="shared" si="0"/>
        <v>14.153846153846153</v>
      </c>
      <c r="J21" s="22">
        <v>4</v>
      </c>
      <c r="K21" s="22">
        <v>4</v>
      </c>
      <c r="L21" s="19">
        <v>6779.9</v>
      </c>
      <c r="M21" s="21">
        <v>1198</v>
      </c>
      <c r="N21" s="23">
        <v>45065</v>
      </c>
      <c r="O21" s="36" t="s">
        <v>40</v>
      </c>
    </row>
    <row r="22" spans="1:19" s="27" customFormat="1" ht="25.9" customHeight="1" x14ac:dyDescent="0.15">
      <c r="A22" s="17">
        <v>20</v>
      </c>
      <c r="B22" s="17">
        <v>8</v>
      </c>
      <c r="C22" s="25" t="s">
        <v>140</v>
      </c>
      <c r="D22" s="28">
        <v>1090.52</v>
      </c>
      <c r="E22" s="19">
        <v>5409.47</v>
      </c>
      <c r="F22" s="20">
        <f t="shared" si="1"/>
        <v>-0.79840538906769065</v>
      </c>
      <c r="G22" s="29">
        <v>177</v>
      </c>
      <c r="H22" s="21">
        <v>13</v>
      </c>
      <c r="I22" s="22">
        <f t="shared" si="0"/>
        <v>13.615384615384615</v>
      </c>
      <c r="J22" s="22">
        <v>3</v>
      </c>
      <c r="K22" s="22">
        <v>3</v>
      </c>
      <c r="L22" s="28">
        <v>18346.16</v>
      </c>
      <c r="M22" s="29">
        <v>3110</v>
      </c>
      <c r="N22" s="23">
        <v>45072</v>
      </c>
      <c r="O22" s="36" t="s">
        <v>13</v>
      </c>
    </row>
    <row r="23" spans="1:19" s="27" customFormat="1" ht="25.9" customHeight="1" x14ac:dyDescent="0.15">
      <c r="A23" s="17">
        <v>21</v>
      </c>
      <c r="B23" s="17">
        <v>38</v>
      </c>
      <c r="C23" s="25" t="s">
        <v>42</v>
      </c>
      <c r="D23" s="19">
        <v>1004.47</v>
      </c>
      <c r="E23" s="19">
        <v>154.47999999999999</v>
      </c>
      <c r="F23" s="20">
        <f t="shared" si="1"/>
        <v>5.502265665458312</v>
      </c>
      <c r="G23" s="21">
        <v>252</v>
      </c>
      <c r="H23" s="21">
        <v>11</v>
      </c>
      <c r="I23" s="22">
        <f t="shared" si="0"/>
        <v>22.90909090909091</v>
      </c>
      <c r="J23" s="22">
        <v>1</v>
      </c>
      <c r="K23" s="20" t="s">
        <v>18</v>
      </c>
      <c r="L23" s="19">
        <v>325974.40000000002</v>
      </c>
      <c r="M23" s="21">
        <v>64675</v>
      </c>
      <c r="N23" s="23">
        <v>44960</v>
      </c>
      <c r="O23" s="35" t="s">
        <v>14</v>
      </c>
    </row>
    <row r="24" spans="1:19" s="27" customFormat="1" ht="25.5" customHeight="1" x14ac:dyDescent="0.15">
      <c r="A24" s="17">
        <v>22</v>
      </c>
      <c r="B24" s="17">
        <v>15</v>
      </c>
      <c r="C24" s="25" t="s">
        <v>158</v>
      </c>
      <c r="D24" s="19">
        <v>823.4</v>
      </c>
      <c r="E24" s="19">
        <v>2419.7600000000002</v>
      </c>
      <c r="F24" s="20">
        <f t="shared" si="1"/>
        <v>-0.65971831917214929</v>
      </c>
      <c r="G24" s="21">
        <v>127</v>
      </c>
      <c r="H24" s="22" t="s">
        <v>18</v>
      </c>
      <c r="I24" s="22" t="s">
        <v>18</v>
      </c>
      <c r="J24" s="22">
        <v>2</v>
      </c>
      <c r="K24" s="22">
        <v>3</v>
      </c>
      <c r="L24" s="19">
        <v>9421.4</v>
      </c>
      <c r="M24" s="21">
        <v>1522</v>
      </c>
      <c r="N24" s="23">
        <v>45072</v>
      </c>
      <c r="O24" s="35" t="s">
        <v>100</v>
      </c>
    </row>
    <row r="25" spans="1:19" s="27" customFormat="1" ht="25.9" customHeight="1" x14ac:dyDescent="0.15">
      <c r="A25" s="17">
        <v>23</v>
      </c>
      <c r="B25" s="17">
        <v>21</v>
      </c>
      <c r="C25" s="25" t="s">
        <v>156</v>
      </c>
      <c r="D25" s="19">
        <v>726.98</v>
      </c>
      <c r="E25" s="19">
        <v>832.75</v>
      </c>
      <c r="F25" s="20">
        <f t="shared" si="1"/>
        <v>-0.12701290903632539</v>
      </c>
      <c r="G25" s="21">
        <v>179</v>
      </c>
      <c r="H25" s="21">
        <v>7</v>
      </c>
      <c r="I25" s="22">
        <f t="shared" ref="I25:I31" si="2">G25/H25</f>
        <v>25.571428571428573</v>
      </c>
      <c r="J25" s="22">
        <v>2</v>
      </c>
      <c r="K25" s="22" t="s">
        <v>18</v>
      </c>
      <c r="L25" s="19">
        <v>322384.78999999998</v>
      </c>
      <c r="M25" s="21">
        <v>68829</v>
      </c>
      <c r="N25" s="23">
        <v>44771</v>
      </c>
      <c r="O25" s="35" t="s">
        <v>14</v>
      </c>
    </row>
    <row r="26" spans="1:19" s="27" customFormat="1" ht="25.9" customHeight="1" x14ac:dyDescent="0.15">
      <c r="A26" s="17">
        <v>24</v>
      </c>
      <c r="B26" s="17">
        <v>24</v>
      </c>
      <c r="C26" s="25" t="s">
        <v>160</v>
      </c>
      <c r="D26" s="19">
        <v>617.40000000000009</v>
      </c>
      <c r="E26" s="19">
        <v>754.3</v>
      </c>
      <c r="F26" s="20">
        <f t="shared" si="1"/>
        <v>-0.18149277475805364</v>
      </c>
      <c r="G26" s="21">
        <v>127</v>
      </c>
      <c r="H26" s="21">
        <v>14</v>
      </c>
      <c r="I26" s="22">
        <f t="shared" si="2"/>
        <v>9.0714285714285712</v>
      </c>
      <c r="J26" s="22">
        <v>5</v>
      </c>
      <c r="K26" s="22">
        <v>3</v>
      </c>
      <c r="L26" s="19">
        <v>2457.66</v>
      </c>
      <c r="M26" s="21">
        <v>570</v>
      </c>
      <c r="N26" s="23">
        <v>45072</v>
      </c>
      <c r="O26" s="35" t="s">
        <v>117</v>
      </c>
    </row>
    <row r="27" spans="1:19" s="27" customFormat="1" ht="25.5" customHeight="1" x14ac:dyDescent="0.15">
      <c r="A27" s="17">
        <v>25</v>
      </c>
      <c r="B27" s="17">
        <v>17</v>
      </c>
      <c r="C27" s="25" t="s">
        <v>155</v>
      </c>
      <c r="D27" s="19">
        <v>521.5</v>
      </c>
      <c r="E27" s="19">
        <v>1216</v>
      </c>
      <c r="F27" s="20">
        <f t="shared" si="1"/>
        <v>-0.57113486842105265</v>
      </c>
      <c r="G27" s="21">
        <v>163</v>
      </c>
      <c r="H27" s="21">
        <v>2</v>
      </c>
      <c r="I27" s="22">
        <f t="shared" si="2"/>
        <v>81.5</v>
      </c>
      <c r="J27" s="22">
        <v>1</v>
      </c>
      <c r="K27" s="22" t="s">
        <v>18</v>
      </c>
      <c r="L27" s="19">
        <v>186080.54</v>
      </c>
      <c r="M27" s="21">
        <v>36949</v>
      </c>
      <c r="N27" s="23">
        <v>44869</v>
      </c>
      <c r="O27" s="36" t="s">
        <v>12</v>
      </c>
    </row>
    <row r="28" spans="1:19" s="27" customFormat="1" ht="25.5" customHeight="1" x14ac:dyDescent="0.15">
      <c r="A28" s="17">
        <v>26</v>
      </c>
      <c r="B28" s="8" t="s">
        <v>18</v>
      </c>
      <c r="C28" s="13" t="s">
        <v>80</v>
      </c>
      <c r="D28" s="8">
        <v>498</v>
      </c>
      <c r="E28" s="9" t="s">
        <v>18</v>
      </c>
      <c r="F28" s="9" t="s">
        <v>18</v>
      </c>
      <c r="G28" s="10">
        <v>74</v>
      </c>
      <c r="H28" s="10">
        <v>1</v>
      </c>
      <c r="I28" s="11">
        <f t="shared" si="2"/>
        <v>74</v>
      </c>
      <c r="J28" s="11">
        <v>1</v>
      </c>
      <c r="K28" s="11">
        <v>12</v>
      </c>
      <c r="L28" s="8">
        <v>10142</v>
      </c>
      <c r="M28" s="10">
        <v>1827</v>
      </c>
      <c r="N28" s="12">
        <v>45012</v>
      </c>
      <c r="O28" s="62" t="s">
        <v>68</v>
      </c>
    </row>
    <row r="29" spans="1:19" s="27" customFormat="1" ht="25.5" customHeight="1" x14ac:dyDescent="0.15">
      <c r="A29" s="17">
        <v>27</v>
      </c>
      <c r="B29" s="22" t="s">
        <v>18</v>
      </c>
      <c r="C29" s="25" t="s">
        <v>149</v>
      </c>
      <c r="D29" s="19">
        <v>468.5</v>
      </c>
      <c r="E29" s="20" t="s">
        <v>18</v>
      </c>
      <c r="F29" s="20" t="s">
        <v>18</v>
      </c>
      <c r="G29" s="21">
        <v>70</v>
      </c>
      <c r="H29" s="21">
        <v>1</v>
      </c>
      <c r="I29" s="22">
        <f t="shared" si="2"/>
        <v>70</v>
      </c>
      <c r="J29" s="22">
        <v>1</v>
      </c>
      <c r="K29" s="20" t="s">
        <v>18</v>
      </c>
      <c r="L29" s="19">
        <v>21971.59</v>
      </c>
      <c r="M29" s="21">
        <v>3510</v>
      </c>
      <c r="N29" s="23">
        <v>44939</v>
      </c>
      <c r="O29" s="35" t="s">
        <v>30</v>
      </c>
    </row>
    <row r="30" spans="1:19" s="61" customFormat="1" ht="25.9" customHeight="1" x14ac:dyDescent="0.2">
      <c r="A30" s="17">
        <v>28</v>
      </c>
      <c r="B30" s="17">
        <v>20</v>
      </c>
      <c r="C30" s="25" t="s">
        <v>36</v>
      </c>
      <c r="D30" s="19">
        <v>421.5</v>
      </c>
      <c r="E30" s="19">
        <v>1085.6999999999998</v>
      </c>
      <c r="F30" s="20">
        <f t="shared" ref="F30:F36" si="3">(D30-E30)/E30</f>
        <v>-0.61177120751588832</v>
      </c>
      <c r="G30" s="21">
        <v>61</v>
      </c>
      <c r="H30" s="21">
        <v>8</v>
      </c>
      <c r="I30" s="22">
        <f t="shared" si="2"/>
        <v>7.625</v>
      </c>
      <c r="J30" s="22">
        <v>1</v>
      </c>
      <c r="K30" s="22">
        <v>15</v>
      </c>
      <c r="L30" s="19">
        <v>235042.63000000003</v>
      </c>
      <c r="M30" s="21">
        <v>36811</v>
      </c>
      <c r="N30" s="23">
        <v>44988</v>
      </c>
      <c r="O30" s="36" t="s">
        <v>39</v>
      </c>
    </row>
    <row r="31" spans="1:19" s="61" customFormat="1" ht="25.9" customHeight="1" x14ac:dyDescent="0.2">
      <c r="A31" s="17">
        <v>29</v>
      </c>
      <c r="B31" s="17">
        <v>32</v>
      </c>
      <c r="C31" s="25" t="s">
        <v>66</v>
      </c>
      <c r="D31" s="28">
        <v>264.3</v>
      </c>
      <c r="E31" s="28">
        <v>289.2</v>
      </c>
      <c r="F31" s="20">
        <f t="shared" si="3"/>
        <v>-8.6099585062240594E-2</v>
      </c>
      <c r="G31" s="21">
        <v>49</v>
      </c>
      <c r="H31" s="21">
        <v>5</v>
      </c>
      <c r="I31" s="22">
        <f t="shared" si="2"/>
        <v>9.8000000000000007</v>
      </c>
      <c r="J31" s="22">
        <v>3</v>
      </c>
      <c r="K31" s="22">
        <v>7</v>
      </c>
      <c r="L31" s="19">
        <v>16002.17</v>
      </c>
      <c r="M31" s="21">
        <v>2542</v>
      </c>
      <c r="N31" s="23">
        <v>45047</v>
      </c>
      <c r="O31" s="30" t="s">
        <v>179</v>
      </c>
    </row>
    <row r="32" spans="1:19" s="61" customFormat="1" ht="25.5" customHeight="1" x14ac:dyDescent="0.2">
      <c r="A32" s="17">
        <v>30</v>
      </c>
      <c r="B32" s="17">
        <v>29</v>
      </c>
      <c r="C32" s="25" t="s">
        <v>126</v>
      </c>
      <c r="D32" s="19">
        <v>256</v>
      </c>
      <c r="E32" s="19">
        <v>392</v>
      </c>
      <c r="F32" s="20">
        <f t="shared" si="3"/>
        <v>-0.34693877551020408</v>
      </c>
      <c r="G32" s="21">
        <v>47</v>
      </c>
      <c r="H32" s="22" t="s">
        <v>18</v>
      </c>
      <c r="I32" s="22" t="s">
        <v>18</v>
      </c>
      <c r="J32" s="22">
        <v>2</v>
      </c>
      <c r="K32" s="22">
        <v>5</v>
      </c>
      <c r="L32" s="19">
        <v>9316</v>
      </c>
      <c r="M32" s="21">
        <v>1554</v>
      </c>
      <c r="N32" s="23">
        <v>45058</v>
      </c>
      <c r="O32" s="36" t="s">
        <v>15</v>
      </c>
    </row>
    <row r="33" spans="1:15" s="61" customFormat="1" ht="25.5" customHeight="1" x14ac:dyDescent="0.2">
      <c r="A33" s="17">
        <v>31</v>
      </c>
      <c r="B33" s="17">
        <v>36</v>
      </c>
      <c r="C33" s="18" t="s">
        <v>37</v>
      </c>
      <c r="D33" s="19">
        <v>230.5</v>
      </c>
      <c r="E33" s="19">
        <v>181.46</v>
      </c>
      <c r="F33" s="20">
        <f t="shared" si="3"/>
        <v>0.27025239722252831</v>
      </c>
      <c r="G33" s="21">
        <v>43</v>
      </c>
      <c r="H33" s="21">
        <v>3</v>
      </c>
      <c r="I33" s="22">
        <f>G33/H33</f>
        <v>14.333333333333334</v>
      </c>
      <c r="J33" s="22">
        <v>3</v>
      </c>
      <c r="K33" s="22">
        <v>17</v>
      </c>
      <c r="L33" s="19">
        <v>278473.69</v>
      </c>
      <c r="M33" s="21">
        <v>46818</v>
      </c>
      <c r="N33" s="23">
        <v>44973</v>
      </c>
      <c r="O33" s="30" t="s">
        <v>13</v>
      </c>
    </row>
    <row r="34" spans="1:15" s="61" customFormat="1" ht="25.5" customHeight="1" x14ac:dyDescent="0.2">
      <c r="A34" s="17">
        <v>32</v>
      </c>
      <c r="B34" s="17">
        <v>44</v>
      </c>
      <c r="C34" s="18" t="s">
        <v>22</v>
      </c>
      <c r="D34" s="19">
        <v>185</v>
      </c>
      <c r="E34" s="19">
        <v>57</v>
      </c>
      <c r="F34" s="20">
        <f t="shared" si="3"/>
        <v>2.2456140350877192</v>
      </c>
      <c r="G34" s="21">
        <v>32</v>
      </c>
      <c r="H34" s="21" t="s">
        <v>18</v>
      </c>
      <c r="I34" s="21" t="s">
        <v>18</v>
      </c>
      <c r="J34" s="22">
        <v>2</v>
      </c>
      <c r="K34" s="22">
        <v>9</v>
      </c>
      <c r="L34" s="19">
        <v>53092</v>
      </c>
      <c r="M34" s="21">
        <v>8034</v>
      </c>
      <c r="N34" s="23">
        <v>45030</v>
      </c>
      <c r="O34" s="30" t="s">
        <v>15</v>
      </c>
    </row>
    <row r="35" spans="1:15" s="61" customFormat="1" ht="25.5" customHeight="1" x14ac:dyDescent="0.2">
      <c r="A35" s="17">
        <v>33</v>
      </c>
      <c r="B35" s="17">
        <v>34</v>
      </c>
      <c r="C35" s="25" t="s">
        <v>154</v>
      </c>
      <c r="D35" s="19">
        <v>167.5</v>
      </c>
      <c r="E35" s="19">
        <v>273</v>
      </c>
      <c r="F35" s="20">
        <f t="shared" si="3"/>
        <v>-0.38644688644688646</v>
      </c>
      <c r="G35" s="21">
        <v>58</v>
      </c>
      <c r="H35" s="21">
        <v>2</v>
      </c>
      <c r="I35" s="22">
        <f t="shared" ref="I35:I50" si="4">G35/H35</f>
        <v>29</v>
      </c>
      <c r="J35" s="22">
        <v>1</v>
      </c>
      <c r="K35" s="22" t="s">
        <v>18</v>
      </c>
      <c r="L35" s="19">
        <v>187807.98</v>
      </c>
      <c r="M35" s="21">
        <v>46820</v>
      </c>
      <c r="N35" s="23">
        <v>44659</v>
      </c>
      <c r="O35" s="35" t="s">
        <v>13</v>
      </c>
    </row>
    <row r="36" spans="1:15" s="61" customFormat="1" ht="25.5" customHeight="1" x14ac:dyDescent="0.2">
      <c r="A36" s="17">
        <v>34</v>
      </c>
      <c r="B36" s="17">
        <v>9</v>
      </c>
      <c r="C36" s="25" t="s">
        <v>172</v>
      </c>
      <c r="D36" s="19">
        <v>154</v>
      </c>
      <c r="E36" s="19">
        <v>5167.6099999999997</v>
      </c>
      <c r="F36" s="20">
        <f t="shared" si="3"/>
        <v>-0.97019898947482497</v>
      </c>
      <c r="G36" s="21">
        <v>33</v>
      </c>
      <c r="H36" s="21">
        <v>8</v>
      </c>
      <c r="I36" s="22">
        <f t="shared" si="4"/>
        <v>4.125</v>
      </c>
      <c r="J36" s="22">
        <v>2</v>
      </c>
      <c r="K36" s="22">
        <v>2</v>
      </c>
      <c r="L36" s="19">
        <v>5321.61</v>
      </c>
      <c r="M36" s="21">
        <v>812</v>
      </c>
      <c r="N36" s="23">
        <v>45079</v>
      </c>
      <c r="O36" s="35" t="s">
        <v>17</v>
      </c>
    </row>
    <row r="37" spans="1:15" s="61" customFormat="1" ht="25.5" customHeight="1" x14ac:dyDescent="0.2">
      <c r="A37" s="17">
        <v>35</v>
      </c>
      <c r="B37" s="11">
        <v>33</v>
      </c>
      <c r="C37" s="13" t="s">
        <v>130</v>
      </c>
      <c r="D37" s="8">
        <v>153.5</v>
      </c>
      <c r="E37" s="8" t="s">
        <v>18</v>
      </c>
      <c r="F37" s="9" t="s">
        <v>18</v>
      </c>
      <c r="G37" s="10">
        <v>37</v>
      </c>
      <c r="H37" s="10">
        <v>2</v>
      </c>
      <c r="I37" s="11">
        <f t="shared" si="4"/>
        <v>18.5</v>
      </c>
      <c r="J37" s="11">
        <v>2</v>
      </c>
      <c r="K37" s="11" t="s">
        <v>18</v>
      </c>
      <c r="L37" s="8">
        <v>177471</v>
      </c>
      <c r="M37" s="10">
        <v>30077</v>
      </c>
      <c r="N37" s="12">
        <v>44834</v>
      </c>
      <c r="O37" s="62" t="s">
        <v>68</v>
      </c>
    </row>
    <row r="38" spans="1:15" s="61" customFormat="1" ht="25.5" customHeight="1" x14ac:dyDescent="0.2">
      <c r="A38" s="17">
        <v>36</v>
      </c>
      <c r="B38" s="17">
        <v>31</v>
      </c>
      <c r="C38" s="18" t="s">
        <v>58</v>
      </c>
      <c r="D38" s="19">
        <v>144.30000000000001</v>
      </c>
      <c r="E38" s="19">
        <v>297.2</v>
      </c>
      <c r="F38" s="20">
        <f t="shared" ref="F38:F47" si="5">(D38-E38)/E38</f>
        <v>-0.51446837146702551</v>
      </c>
      <c r="G38" s="21">
        <v>21</v>
      </c>
      <c r="H38" s="21">
        <v>3</v>
      </c>
      <c r="I38" s="22">
        <f t="shared" si="4"/>
        <v>7</v>
      </c>
      <c r="J38" s="22">
        <v>1</v>
      </c>
      <c r="K38" s="22">
        <v>7</v>
      </c>
      <c r="L38" s="19">
        <v>10680.570000000003</v>
      </c>
      <c r="M38" s="21">
        <v>1747</v>
      </c>
      <c r="N38" s="23">
        <v>45044</v>
      </c>
      <c r="O38" s="30" t="s">
        <v>16</v>
      </c>
    </row>
    <row r="39" spans="1:15" s="61" customFormat="1" ht="25.5" customHeight="1" x14ac:dyDescent="0.2">
      <c r="A39" s="17">
        <v>37</v>
      </c>
      <c r="B39" s="17">
        <v>41</v>
      </c>
      <c r="C39" s="18" t="s">
        <v>67</v>
      </c>
      <c r="D39" s="19">
        <v>140.4</v>
      </c>
      <c r="E39" s="19">
        <v>103.6</v>
      </c>
      <c r="F39" s="20">
        <f t="shared" si="5"/>
        <v>0.35521235521235534</v>
      </c>
      <c r="G39" s="21">
        <v>25</v>
      </c>
      <c r="H39" s="21">
        <v>2</v>
      </c>
      <c r="I39" s="22">
        <f t="shared" si="4"/>
        <v>12.5</v>
      </c>
      <c r="J39" s="22">
        <v>2</v>
      </c>
      <c r="K39" s="22">
        <v>12</v>
      </c>
      <c r="L39" s="19">
        <v>55700</v>
      </c>
      <c r="M39" s="21">
        <v>7392</v>
      </c>
      <c r="N39" s="23">
        <v>45012</v>
      </c>
      <c r="O39" s="30" t="s">
        <v>68</v>
      </c>
    </row>
    <row r="40" spans="1:15" s="61" customFormat="1" ht="25.5" customHeight="1" x14ac:dyDescent="0.2">
      <c r="A40" s="17">
        <v>38</v>
      </c>
      <c r="B40" s="17">
        <v>30</v>
      </c>
      <c r="C40" s="18" t="s">
        <v>106</v>
      </c>
      <c r="D40" s="19">
        <v>60.9</v>
      </c>
      <c r="E40" s="19">
        <v>389.3</v>
      </c>
      <c r="F40" s="20">
        <f t="shared" si="5"/>
        <v>-0.84356537374775242</v>
      </c>
      <c r="G40" s="21">
        <v>11</v>
      </c>
      <c r="H40" s="21">
        <v>1</v>
      </c>
      <c r="I40" s="22">
        <f t="shared" si="4"/>
        <v>11</v>
      </c>
      <c r="J40" s="22">
        <v>1</v>
      </c>
      <c r="K40" s="22" t="s">
        <v>18</v>
      </c>
      <c r="L40" s="19">
        <v>40598.98000000001</v>
      </c>
      <c r="M40" s="21">
        <v>6888</v>
      </c>
      <c r="N40" s="23">
        <v>44678</v>
      </c>
      <c r="O40" s="30" t="s">
        <v>16</v>
      </c>
    </row>
    <row r="41" spans="1:15" s="61" customFormat="1" ht="25.5" customHeight="1" x14ac:dyDescent="0.2">
      <c r="A41" s="17">
        <v>39</v>
      </c>
      <c r="B41" s="17">
        <v>18</v>
      </c>
      <c r="C41" s="25" t="s">
        <v>159</v>
      </c>
      <c r="D41" s="19">
        <v>60</v>
      </c>
      <c r="E41" s="19">
        <v>1213.93</v>
      </c>
      <c r="F41" s="20">
        <f t="shared" si="5"/>
        <v>-0.95057375631214325</v>
      </c>
      <c r="G41" s="21">
        <v>32</v>
      </c>
      <c r="H41" s="21">
        <v>1</v>
      </c>
      <c r="I41" s="22">
        <f t="shared" si="4"/>
        <v>32</v>
      </c>
      <c r="J41" s="22">
        <v>1</v>
      </c>
      <c r="K41" s="22" t="s">
        <v>18</v>
      </c>
      <c r="L41" s="19">
        <v>1342081.74</v>
      </c>
      <c r="M41" s="21">
        <v>249252</v>
      </c>
      <c r="N41" s="23">
        <v>44743</v>
      </c>
      <c r="O41" s="30" t="s">
        <v>179</v>
      </c>
    </row>
    <row r="42" spans="1:15" s="61" customFormat="1" ht="25.5" customHeight="1" x14ac:dyDescent="0.2">
      <c r="A42" s="17">
        <v>40</v>
      </c>
      <c r="B42" s="17">
        <v>43</v>
      </c>
      <c r="C42" s="25" t="s">
        <v>23</v>
      </c>
      <c r="D42" s="19">
        <v>44.2</v>
      </c>
      <c r="E42" s="19">
        <v>70</v>
      </c>
      <c r="F42" s="20">
        <f t="shared" si="5"/>
        <v>-0.36857142857142855</v>
      </c>
      <c r="G42" s="21">
        <v>8</v>
      </c>
      <c r="H42" s="21">
        <v>1</v>
      </c>
      <c r="I42" s="22">
        <f t="shared" si="4"/>
        <v>8</v>
      </c>
      <c r="J42" s="22">
        <v>1</v>
      </c>
      <c r="K42" s="22">
        <v>9</v>
      </c>
      <c r="L42" s="19">
        <v>35636.19</v>
      </c>
      <c r="M42" s="21">
        <v>5594</v>
      </c>
      <c r="N42" s="23">
        <v>45030</v>
      </c>
      <c r="O42" s="36" t="s">
        <v>12</v>
      </c>
    </row>
    <row r="43" spans="1:15" s="61" customFormat="1" ht="25.5" customHeight="1" x14ac:dyDescent="0.2">
      <c r="A43" s="17">
        <v>41</v>
      </c>
      <c r="B43" s="6">
        <v>46</v>
      </c>
      <c r="C43" s="13" t="s">
        <v>136</v>
      </c>
      <c r="D43" s="8">
        <v>40</v>
      </c>
      <c r="E43" s="8">
        <v>40</v>
      </c>
      <c r="F43" s="9">
        <f t="shared" si="5"/>
        <v>0</v>
      </c>
      <c r="G43" s="10">
        <v>11</v>
      </c>
      <c r="H43" s="10">
        <v>5</v>
      </c>
      <c r="I43" s="11">
        <f t="shared" si="4"/>
        <v>2.2000000000000002</v>
      </c>
      <c r="J43" s="11">
        <v>1</v>
      </c>
      <c r="K43" s="11">
        <v>4</v>
      </c>
      <c r="L43" s="8">
        <v>1283</v>
      </c>
      <c r="M43" s="10">
        <v>309</v>
      </c>
      <c r="N43" s="12">
        <v>45065</v>
      </c>
      <c r="O43" s="62" t="s">
        <v>68</v>
      </c>
    </row>
    <row r="44" spans="1:15" s="61" customFormat="1" ht="25.5" customHeight="1" x14ac:dyDescent="0.2">
      <c r="A44" s="17">
        <v>42</v>
      </c>
      <c r="B44" s="17">
        <v>39</v>
      </c>
      <c r="C44" s="25" t="s">
        <v>94</v>
      </c>
      <c r="D44" s="19">
        <v>37</v>
      </c>
      <c r="E44" s="19">
        <v>150.80000000000001</v>
      </c>
      <c r="F44" s="20">
        <f t="shared" si="5"/>
        <v>-0.75464190981432366</v>
      </c>
      <c r="G44" s="21">
        <v>5</v>
      </c>
      <c r="H44" s="21">
        <v>1</v>
      </c>
      <c r="I44" s="22">
        <f t="shared" si="4"/>
        <v>5</v>
      </c>
      <c r="J44" s="22">
        <v>1</v>
      </c>
      <c r="K44" s="22">
        <v>8</v>
      </c>
      <c r="L44" s="19">
        <v>2910.0000000000005</v>
      </c>
      <c r="M44" s="21">
        <v>528</v>
      </c>
      <c r="N44" s="23">
        <v>45043</v>
      </c>
      <c r="O44" s="36" t="s">
        <v>95</v>
      </c>
    </row>
    <row r="45" spans="1:15" s="45" customFormat="1" ht="25.5" customHeight="1" x14ac:dyDescent="0.2">
      <c r="A45" s="17">
        <v>43</v>
      </c>
      <c r="B45" s="6">
        <v>42</v>
      </c>
      <c r="C45" s="13" t="s">
        <v>102</v>
      </c>
      <c r="D45" s="8">
        <v>35.1</v>
      </c>
      <c r="E45" s="8">
        <v>81.2</v>
      </c>
      <c r="F45" s="20">
        <f t="shared" si="5"/>
        <v>-0.56773399014778325</v>
      </c>
      <c r="G45" s="10">
        <v>6</v>
      </c>
      <c r="H45" s="10">
        <v>1</v>
      </c>
      <c r="I45" s="11">
        <f t="shared" si="4"/>
        <v>6</v>
      </c>
      <c r="J45" s="11">
        <v>1</v>
      </c>
      <c r="K45" s="11">
        <v>6</v>
      </c>
      <c r="L45" s="8">
        <v>3498</v>
      </c>
      <c r="M45" s="10">
        <v>615</v>
      </c>
      <c r="N45" s="12">
        <v>45051</v>
      </c>
      <c r="O45" s="62" t="s">
        <v>68</v>
      </c>
    </row>
    <row r="46" spans="1:15" s="45" customFormat="1" ht="25.5" customHeight="1" x14ac:dyDescent="0.2">
      <c r="A46" s="17">
        <v>44</v>
      </c>
      <c r="B46" s="17">
        <v>25</v>
      </c>
      <c r="C46" s="25" t="s">
        <v>133</v>
      </c>
      <c r="D46" s="19">
        <v>35</v>
      </c>
      <c r="E46" s="19">
        <v>640.5</v>
      </c>
      <c r="F46" s="20">
        <f t="shared" si="5"/>
        <v>-0.94535519125683065</v>
      </c>
      <c r="G46" s="21">
        <v>11</v>
      </c>
      <c r="H46" s="21">
        <v>1</v>
      </c>
      <c r="I46" s="22">
        <f t="shared" si="4"/>
        <v>11</v>
      </c>
      <c r="J46" s="22">
        <v>1</v>
      </c>
      <c r="K46" s="22" t="s">
        <v>18</v>
      </c>
      <c r="L46" s="19">
        <v>235474.5</v>
      </c>
      <c r="M46" s="21">
        <v>50959</v>
      </c>
      <c r="N46" s="23">
        <v>44400</v>
      </c>
      <c r="O46" s="30" t="s">
        <v>40</v>
      </c>
    </row>
    <row r="47" spans="1:15" s="45" customFormat="1" ht="25.5" customHeight="1" x14ac:dyDescent="0.2">
      <c r="A47" s="17">
        <v>45</v>
      </c>
      <c r="B47" s="11">
        <v>47</v>
      </c>
      <c r="C47" s="13" t="s">
        <v>175</v>
      </c>
      <c r="D47" s="8">
        <v>20</v>
      </c>
      <c r="E47" s="8">
        <v>34</v>
      </c>
      <c r="F47" s="9">
        <f t="shared" si="5"/>
        <v>-0.41176470588235292</v>
      </c>
      <c r="G47" s="10">
        <v>4</v>
      </c>
      <c r="H47" s="10">
        <v>1</v>
      </c>
      <c r="I47" s="11">
        <f t="shared" si="4"/>
        <v>4</v>
      </c>
      <c r="J47" s="11">
        <v>1</v>
      </c>
      <c r="K47" s="11" t="s">
        <v>18</v>
      </c>
      <c r="L47" s="8">
        <v>223</v>
      </c>
      <c r="M47" s="10">
        <v>42</v>
      </c>
      <c r="N47" s="12">
        <v>45012</v>
      </c>
      <c r="O47" s="62" t="s">
        <v>68</v>
      </c>
    </row>
    <row r="48" spans="1:15" s="45" customFormat="1" ht="25.5" customHeight="1" x14ac:dyDescent="0.2">
      <c r="A48" s="17">
        <v>46</v>
      </c>
      <c r="B48" s="8" t="s">
        <v>18</v>
      </c>
      <c r="C48" s="13" t="s">
        <v>79</v>
      </c>
      <c r="D48" s="8">
        <v>15</v>
      </c>
      <c r="E48" s="9" t="s">
        <v>18</v>
      </c>
      <c r="F48" s="20" t="s">
        <v>18</v>
      </c>
      <c r="G48" s="10">
        <v>2</v>
      </c>
      <c r="H48" s="10">
        <v>1</v>
      </c>
      <c r="I48" s="11">
        <f t="shared" si="4"/>
        <v>2</v>
      </c>
      <c r="J48" s="11">
        <v>1</v>
      </c>
      <c r="K48" s="11">
        <v>12</v>
      </c>
      <c r="L48" s="8">
        <v>45588</v>
      </c>
      <c r="M48" s="10">
        <v>5349</v>
      </c>
      <c r="N48" s="12">
        <v>45012</v>
      </c>
      <c r="O48" s="62" t="s">
        <v>68</v>
      </c>
    </row>
    <row r="49" spans="1:15" s="45" customFormat="1" ht="25.5" customHeight="1" x14ac:dyDescent="0.2">
      <c r="A49" s="17">
        <v>47</v>
      </c>
      <c r="B49" s="8" t="s">
        <v>18</v>
      </c>
      <c r="C49" s="13" t="s">
        <v>161</v>
      </c>
      <c r="D49" s="8">
        <v>14.8</v>
      </c>
      <c r="E49" s="20" t="s">
        <v>18</v>
      </c>
      <c r="F49" s="20" t="s">
        <v>18</v>
      </c>
      <c r="G49" s="10">
        <v>3</v>
      </c>
      <c r="H49" s="10">
        <v>1</v>
      </c>
      <c r="I49" s="22">
        <f t="shared" si="4"/>
        <v>3</v>
      </c>
      <c r="J49" s="11">
        <v>1</v>
      </c>
      <c r="K49" s="20" t="s">
        <v>18</v>
      </c>
      <c r="L49" s="8">
        <v>1005185.6900000002</v>
      </c>
      <c r="M49" s="10">
        <v>144286</v>
      </c>
      <c r="N49" s="12">
        <v>44848</v>
      </c>
      <c r="O49" s="62" t="s">
        <v>162</v>
      </c>
    </row>
    <row r="50" spans="1:15" s="45" customFormat="1" ht="25.5" customHeight="1" x14ac:dyDescent="0.2">
      <c r="A50" s="17">
        <v>48</v>
      </c>
      <c r="B50" s="17">
        <v>45</v>
      </c>
      <c r="C50" s="25" t="s">
        <v>110</v>
      </c>
      <c r="D50" s="19">
        <v>11</v>
      </c>
      <c r="E50" s="19">
        <v>52.3</v>
      </c>
      <c r="F50" s="20">
        <f>(D50-E50)/E50</f>
        <v>-0.78967495219885275</v>
      </c>
      <c r="G50" s="21">
        <v>3</v>
      </c>
      <c r="H50" s="21">
        <v>1</v>
      </c>
      <c r="I50" s="22">
        <f t="shared" si="4"/>
        <v>3</v>
      </c>
      <c r="J50" s="22">
        <v>1</v>
      </c>
      <c r="K50" s="22">
        <v>6</v>
      </c>
      <c r="L50" s="19">
        <v>1032.8</v>
      </c>
      <c r="M50" s="21">
        <v>193</v>
      </c>
      <c r="N50" s="23">
        <v>45052</v>
      </c>
      <c r="O50" s="30" t="s">
        <v>30</v>
      </c>
    </row>
    <row r="51" spans="1:15" s="45" customFormat="1" ht="25.5" customHeight="1" x14ac:dyDescent="0.2">
      <c r="A51" s="41" t="s">
        <v>85</v>
      </c>
      <c r="B51" s="41" t="s">
        <v>85</v>
      </c>
      <c r="C51" s="46" t="s">
        <v>183</v>
      </c>
      <c r="D51" s="47">
        <f>SUBTOTAL(109,Table13245879[Pajamos 
(GBO)])</f>
        <v>268471.45000000007</v>
      </c>
      <c r="E51" s="47" t="s">
        <v>177</v>
      </c>
      <c r="F51" s="42">
        <f>(D51-E51)/E51</f>
        <v>-2.9124129825512813E-2</v>
      </c>
      <c r="G51" s="43">
        <f>SUBTOTAL(109,Table13245879[Žiūrovų sk. 
(ADM)])</f>
        <v>43993</v>
      </c>
      <c r="H51" s="55"/>
      <c r="I51" s="46"/>
      <c r="J51" s="51"/>
      <c r="K51" s="46"/>
      <c r="L51" s="53"/>
      <c r="M51" s="55"/>
      <c r="N51" s="60"/>
      <c r="O51" s="46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95778-11DF-47E6-A0EA-505AB86A94D4}">
  <sheetPr>
    <pageSetUpPr fitToPage="1"/>
  </sheetPr>
  <dimension ref="A1:XFC50"/>
  <sheetViews>
    <sheetView topLeftCell="A6" zoomScale="60" zoomScaleNormal="60" workbookViewId="0">
      <selection activeCell="C35" sqref="C35"/>
    </sheetView>
  </sheetViews>
  <sheetFormatPr defaultColWidth="0" defaultRowHeight="11.25" zeroHeight="1" x14ac:dyDescent="0.15"/>
  <cols>
    <col min="1" max="1" width="4.7109375" style="1" customWidth="1"/>
    <col min="2" max="2" width="4.7109375" style="38" customWidth="1"/>
    <col min="3" max="3" width="30.7109375" style="1" customWidth="1"/>
    <col min="4" max="5" width="20.7109375" style="37" customWidth="1"/>
    <col min="6" max="6" width="20.7109375" style="58" customWidth="1"/>
    <col min="7" max="8" width="20.7109375" style="56" customWidth="1"/>
    <col min="9" max="9" width="20.7109375" style="1" customWidth="1"/>
    <col min="10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167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1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4" t="s">
        <v>4</v>
      </c>
      <c r="I2" s="15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17">
        <v>1</v>
      </c>
      <c r="B3" s="17" t="s">
        <v>31</v>
      </c>
      <c r="C3" s="25" t="s">
        <v>151</v>
      </c>
      <c r="D3" s="19">
        <v>88443.99</v>
      </c>
      <c r="E3" s="21" t="s">
        <v>18</v>
      </c>
      <c r="F3" s="21" t="s">
        <v>18</v>
      </c>
      <c r="G3" s="21">
        <v>14616</v>
      </c>
      <c r="H3" s="21">
        <v>314</v>
      </c>
      <c r="I3" s="22">
        <f>G3/H3</f>
        <v>46.547770700636946</v>
      </c>
      <c r="J3" s="22">
        <v>18</v>
      </c>
      <c r="K3" s="22">
        <v>1</v>
      </c>
      <c r="L3" s="19">
        <v>101610.48</v>
      </c>
      <c r="M3" s="21">
        <v>16690</v>
      </c>
      <c r="N3" s="23">
        <v>45079</v>
      </c>
      <c r="O3" s="36" t="s">
        <v>12</v>
      </c>
    </row>
    <row r="4" spans="1:18" s="24" customFormat="1" ht="25.9" customHeight="1" x14ac:dyDescent="0.2">
      <c r="A4" s="17">
        <v>2</v>
      </c>
      <c r="B4" s="17">
        <v>1</v>
      </c>
      <c r="C4" s="25" t="s">
        <v>132</v>
      </c>
      <c r="D4" s="19">
        <v>50546.74</v>
      </c>
      <c r="E4" s="19">
        <v>75839.47</v>
      </c>
      <c r="F4" s="20">
        <f>(D4-E4)/E4</f>
        <v>-0.33350351736371581</v>
      </c>
      <c r="G4" s="21">
        <v>6911</v>
      </c>
      <c r="H4" s="21">
        <v>288</v>
      </c>
      <c r="I4" s="22">
        <f t="shared" ref="I4:I16" si="0">G4/H4</f>
        <v>23.996527777777779</v>
      </c>
      <c r="J4" s="22">
        <v>19</v>
      </c>
      <c r="K4" s="22">
        <v>3</v>
      </c>
      <c r="L4" s="19">
        <v>287228.28000000003</v>
      </c>
      <c r="M4" s="21">
        <v>38862</v>
      </c>
      <c r="N4" s="23">
        <v>45065</v>
      </c>
      <c r="O4" s="30" t="s">
        <v>61</v>
      </c>
    </row>
    <row r="5" spans="1:18" s="24" customFormat="1" ht="25.9" customHeight="1" x14ac:dyDescent="0.2">
      <c r="A5" s="17">
        <v>3</v>
      </c>
      <c r="B5" s="17">
        <v>3</v>
      </c>
      <c r="C5" s="18" t="s">
        <v>143</v>
      </c>
      <c r="D5" s="19">
        <v>22770.080000000002</v>
      </c>
      <c r="E5" s="19">
        <v>23486.75</v>
      </c>
      <c r="F5" s="20">
        <f>(D5-E5)/E5</f>
        <v>-3.0513800334230928E-2</v>
      </c>
      <c r="G5" s="21">
        <v>4307</v>
      </c>
      <c r="H5" s="21">
        <v>185</v>
      </c>
      <c r="I5" s="22">
        <f t="shared" si="0"/>
        <v>23.28108108108108</v>
      </c>
      <c r="J5" s="22">
        <v>14</v>
      </c>
      <c r="K5" s="22">
        <v>2</v>
      </c>
      <c r="L5" s="19">
        <v>46982.64</v>
      </c>
      <c r="M5" s="21">
        <v>8917</v>
      </c>
      <c r="N5" s="23">
        <v>45072</v>
      </c>
      <c r="O5" s="30" t="s">
        <v>40</v>
      </c>
      <c r="R5" s="17"/>
    </row>
    <row r="6" spans="1:18" s="24" customFormat="1" ht="25.9" customHeight="1" x14ac:dyDescent="0.2">
      <c r="A6" s="17">
        <v>4</v>
      </c>
      <c r="B6" s="22" t="s">
        <v>31</v>
      </c>
      <c r="C6" s="25" t="s">
        <v>171</v>
      </c>
      <c r="D6" s="19">
        <v>22691.87</v>
      </c>
      <c r="E6" s="19" t="s">
        <v>18</v>
      </c>
      <c r="F6" s="20" t="s">
        <v>18</v>
      </c>
      <c r="G6" s="21">
        <v>3623</v>
      </c>
      <c r="H6" s="21">
        <v>185</v>
      </c>
      <c r="I6" s="22">
        <f t="shared" si="0"/>
        <v>19.583783783783783</v>
      </c>
      <c r="J6" s="22">
        <v>15</v>
      </c>
      <c r="K6" s="22">
        <v>1</v>
      </c>
      <c r="L6" s="19">
        <v>22691.87</v>
      </c>
      <c r="M6" s="21">
        <v>3623</v>
      </c>
      <c r="N6" s="23">
        <v>45079</v>
      </c>
      <c r="O6" s="30" t="s">
        <v>40</v>
      </c>
      <c r="R6" s="17"/>
    </row>
    <row r="7" spans="1:18" s="24" customFormat="1" ht="25.9" customHeight="1" x14ac:dyDescent="0.2">
      <c r="A7" s="17">
        <v>5</v>
      </c>
      <c r="B7" s="17">
        <v>4</v>
      </c>
      <c r="C7" s="18" t="s">
        <v>11</v>
      </c>
      <c r="D7" s="19">
        <v>20166.810000000001</v>
      </c>
      <c r="E7" s="19">
        <v>19062.37</v>
      </c>
      <c r="F7" s="20">
        <f>(D7-E7)/E7</f>
        <v>5.7938231185314437E-2</v>
      </c>
      <c r="G7" s="21">
        <v>4163</v>
      </c>
      <c r="H7" s="21">
        <v>157</v>
      </c>
      <c r="I7" s="22">
        <f t="shared" si="0"/>
        <v>26.515923566878982</v>
      </c>
      <c r="J7" s="22">
        <v>12</v>
      </c>
      <c r="K7" s="22">
        <v>9</v>
      </c>
      <c r="L7" s="19">
        <v>543894.36</v>
      </c>
      <c r="M7" s="21">
        <v>99201</v>
      </c>
      <c r="N7" s="23">
        <v>45023</v>
      </c>
      <c r="O7" s="30" t="s">
        <v>61</v>
      </c>
      <c r="R7" s="17"/>
    </row>
    <row r="8" spans="1:18" s="24" customFormat="1" ht="25.9" customHeight="1" x14ac:dyDescent="0.2">
      <c r="A8" s="17">
        <v>6</v>
      </c>
      <c r="B8" s="17">
        <v>2</v>
      </c>
      <c r="C8" s="25" t="s">
        <v>97</v>
      </c>
      <c r="D8" s="19">
        <v>17359.09</v>
      </c>
      <c r="E8" s="19">
        <v>24609.53</v>
      </c>
      <c r="F8" s="20">
        <f>(D8-E8)/E8</f>
        <v>-0.29461919833495392</v>
      </c>
      <c r="G8" s="21">
        <v>2708</v>
      </c>
      <c r="H8" s="21">
        <v>115</v>
      </c>
      <c r="I8" s="22">
        <f t="shared" si="0"/>
        <v>23.547826086956523</v>
      </c>
      <c r="J8" s="22">
        <v>9</v>
      </c>
      <c r="K8" s="22">
        <v>5</v>
      </c>
      <c r="L8" s="19">
        <v>253217.54</v>
      </c>
      <c r="M8" s="21">
        <v>35310</v>
      </c>
      <c r="N8" s="23">
        <v>45051</v>
      </c>
      <c r="O8" s="36" t="s">
        <v>40</v>
      </c>
      <c r="R8" s="17"/>
    </row>
    <row r="9" spans="1:18" s="24" customFormat="1" ht="25.9" customHeight="1" x14ac:dyDescent="0.2">
      <c r="A9" s="17">
        <v>7</v>
      </c>
      <c r="B9" s="17">
        <v>7</v>
      </c>
      <c r="C9" s="18" t="s">
        <v>50</v>
      </c>
      <c r="D9" s="19">
        <v>6267.01</v>
      </c>
      <c r="E9" s="19">
        <v>8469</v>
      </c>
      <c r="F9" s="20">
        <f>(D9-E9)/E9</f>
        <v>-0.26000590388475614</v>
      </c>
      <c r="G9" s="21">
        <v>1295</v>
      </c>
      <c r="H9" s="21">
        <v>97</v>
      </c>
      <c r="I9" s="22">
        <f t="shared" si="0"/>
        <v>13.350515463917526</v>
      </c>
      <c r="J9" s="22">
        <v>12</v>
      </c>
      <c r="K9" s="22">
        <v>7</v>
      </c>
      <c r="L9" s="19">
        <v>239381.91</v>
      </c>
      <c r="M9" s="21">
        <v>47556</v>
      </c>
      <c r="N9" s="23">
        <v>45037</v>
      </c>
      <c r="O9" s="30" t="s">
        <v>51</v>
      </c>
      <c r="R9" s="17"/>
    </row>
    <row r="10" spans="1:18" s="24" customFormat="1" ht="25.9" customHeight="1" x14ac:dyDescent="0.2">
      <c r="A10" s="17">
        <v>8</v>
      </c>
      <c r="B10" s="17">
        <v>6</v>
      </c>
      <c r="C10" s="25" t="s">
        <v>140</v>
      </c>
      <c r="D10" s="28">
        <v>5409.47</v>
      </c>
      <c r="E10" s="19">
        <v>11431.82</v>
      </c>
      <c r="F10" s="20">
        <f>(D10-E10)/E10</f>
        <v>-0.52680588042848819</v>
      </c>
      <c r="G10" s="29">
        <v>897</v>
      </c>
      <c r="H10" s="21">
        <v>56</v>
      </c>
      <c r="I10" s="22">
        <f t="shared" si="0"/>
        <v>16.017857142857142</v>
      </c>
      <c r="J10" s="22">
        <v>10</v>
      </c>
      <c r="K10" s="22">
        <v>2</v>
      </c>
      <c r="L10" s="28">
        <v>17255.64</v>
      </c>
      <c r="M10" s="29">
        <v>2933</v>
      </c>
      <c r="N10" s="23">
        <v>45072</v>
      </c>
      <c r="O10" s="36" t="s">
        <v>13</v>
      </c>
      <c r="R10" s="17"/>
    </row>
    <row r="11" spans="1:18" s="24" customFormat="1" ht="25.9" customHeight="1" x14ac:dyDescent="0.2">
      <c r="A11" s="17">
        <v>9</v>
      </c>
      <c r="B11" s="22" t="s">
        <v>31</v>
      </c>
      <c r="C11" s="25" t="s">
        <v>172</v>
      </c>
      <c r="D11" s="19">
        <v>5167.6099999999997</v>
      </c>
      <c r="E11" s="19" t="s">
        <v>18</v>
      </c>
      <c r="F11" s="20" t="s">
        <v>18</v>
      </c>
      <c r="G11" s="21">
        <v>779</v>
      </c>
      <c r="H11" s="21">
        <v>86</v>
      </c>
      <c r="I11" s="22">
        <f t="shared" si="0"/>
        <v>9.0581395348837201</v>
      </c>
      <c r="J11" s="22">
        <v>14</v>
      </c>
      <c r="K11" s="22">
        <v>1</v>
      </c>
      <c r="L11" s="19">
        <v>5167.6099999999997</v>
      </c>
      <c r="M11" s="21">
        <v>779</v>
      </c>
      <c r="N11" s="23">
        <v>45079</v>
      </c>
      <c r="O11" s="35" t="s">
        <v>17</v>
      </c>
      <c r="R11" s="17"/>
    </row>
    <row r="12" spans="1:18" s="24" customFormat="1" ht="25.9" customHeight="1" x14ac:dyDescent="0.2">
      <c r="A12" s="17">
        <v>10</v>
      </c>
      <c r="B12" s="22" t="s">
        <v>57</v>
      </c>
      <c r="C12" s="25" t="s">
        <v>173</v>
      </c>
      <c r="D12" s="19">
        <v>4933.8900000000003</v>
      </c>
      <c r="E12" s="19" t="s">
        <v>18</v>
      </c>
      <c r="F12" s="20" t="s">
        <v>18</v>
      </c>
      <c r="G12" s="21">
        <v>673</v>
      </c>
      <c r="H12" s="21">
        <v>14</v>
      </c>
      <c r="I12" s="22">
        <f t="shared" si="0"/>
        <v>48.071428571428569</v>
      </c>
      <c r="J12" s="22">
        <v>14</v>
      </c>
      <c r="K12" s="22">
        <v>0</v>
      </c>
      <c r="L12" s="19">
        <v>4933.8900000000003</v>
      </c>
      <c r="M12" s="21">
        <v>673</v>
      </c>
      <c r="N12" s="23" t="s">
        <v>59</v>
      </c>
      <c r="O12" s="30" t="s">
        <v>121</v>
      </c>
      <c r="R12" s="17"/>
    </row>
    <row r="13" spans="1:18" s="24" customFormat="1" ht="25.9" customHeight="1" x14ac:dyDescent="0.2">
      <c r="A13" s="17">
        <v>11</v>
      </c>
      <c r="B13" s="17" t="s">
        <v>31</v>
      </c>
      <c r="C13" s="25" t="s">
        <v>146</v>
      </c>
      <c r="D13" s="19">
        <v>4795.72</v>
      </c>
      <c r="E13" s="20" t="s">
        <v>18</v>
      </c>
      <c r="F13" s="20" t="s">
        <v>18</v>
      </c>
      <c r="G13" s="21">
        <v>821</v>
      </c>
      <c r="H13" s="21">
        <v>86</v>
      </c>
      <c r="I13" s="22">
        <f t="shared" si="0"/>
        <v>9.5465116279069768</v>
      </c>
      <c r="J13" s="22">
        <v>16</v>
      </c>
      <c r="K13" s="22">
        <v>1</v>
      </c>
      <c r="L13" s="19">
        <v>5769.32</v>
      </c>
      <c r="M13" s="21">
        <v>894</v>
      </c>
      <c r="N13" s="23">
        <v>45079</v>
      </c>
      <c r="O13" s="30" t="s">
        <v>16</v>
      </c>
      <c r="R13" s="17"/>
    </row>
    <row r="14" spans="1:18" s="24" customFormat="1" ht="25.9" customHeight="1" x14ac:dyDescent="0.2">
      <c r="A14" s="17">
        <v>12</v>
      </c>
      <c r="B14" s="17">
        <v>11</v>
      </c>
      <c r="C14" s="18" t="s">
        <v>90</v>
      </c>
      <c r="D14" s="19">
        <v>3781.5</v>
      </c>
      <c r="E14" s="19">
        <v>2739.17</v>
      </c>
      <c r="F14" s="20">
        <f t="shared" ref="F14:F23" si="1">(D14-E14)/E14</f>
        <v>0.38052767809226878</v>
      </c>
      <c r="G14" s="21">
        <v>744</v>
      </c>
      <c r="H14" s="21">
        <v>31</v>
      </c>
      <c r="I14" s="22">
        <f t="shared" si="0"/>
        <v>24</v>
      </c>
      <c r="J14" s="22">
        <v>4</v>
      </c>
      <c r="K14" s="22">
        <v>6</v>
      </c>
      <c r="L14" s="19">
        <v>39058.589999999997</v>
      </c>
      <c r="M14" s="21">
        <v>7811</v>
      </c>
      <c r="N14" s="23">
        <v>45044</v>
      </c>
      <c r="O14" s="30" t="s">
        <v>16</v>
      </c>
      <c r="R14" s="17"/>
    </row>
    <row r="15" spans="1:18" s="24" customFormat="1" ht="25.9" customHeight="1" x14ac:dyDescent="0.2">
      <c r="A15" s="17">
        <v>13</v>
      </c>
      <c r="B15" s="17">
        <v>8</v>
      </c>
      <c r="C15" s="25" t="s">
        <v>127</v>
      </c>
      <c r="D15" s="19">
        <v>3533.04</v>
      </c>
      <c r="E15" s="19">
        <v>6296.44</v>
      </c>
      <c r="F15" s="20">
        <f t="shared" si="1"/>
        <v>-0.43888292431913906</v>
      </c>
      <c r="G15" s="21">
        <v>785</v>
      </c>
      <c r="H15" s="21">
        <v>41</v>
      </c>
      <c r="I15" s="22">
        <f t="shared" si="0"/>
        <v>19.146341463414632</v>
      </c>
      <c r="J15" s="22">
        <v>10</v>
      </c>
      <c r="K15" s="22">
        <v>4</v>
      </c>
      <c r="L15" s="19">
        <v>28243.73</v>
      </c>
      <c r="M15" s="21">
        <v>6049</v>
      </c>
      <c r="N15" s="23">
        <v>45058</v>
      </c>
      <c r="O15" s="36" t="s">
        <v>13</v>
      </c>
      <c r="R15" s="17"/>
    </row>
    <row r="16" spans="1:18" s="24" customFormat="1" ht="25.9" customHeight="1" x14ac:dyDescent="0.2">
      <c r="A16" s="17">
        <v>14</v>
      </c>
      <c r="B16" s="17">
        <v>13</v>
      </c>
      <c r="C16" s="25" t="s">
        <v>116</v>
      </c>
      <c r="D16" s="19">
        <v>3270.9299999999994</v>
      </c>
      <c r="E16" s="19">
        <v>1198.4899999999998</v>
      </c>
      <c r="F16" s="20">
        <f t="shared" si="1"/>
        <v>1.7292092549791822</v>
      </c>
      <c r="G16" s="21">
        <v>1003</v>
      </c>
      <c r="H16" s="21">
        <v>15</v>
      </c>
      <c r="I16" s="22">
        <f t="shared" si="0"/>
        <v>66.86666666666666</v>
      </c>
      <c r="J16" s="22">
        <v>4</v>
      </c>
      <c r="K16" s="22">
        <v>5</v>
      </c>
      <c r="L16" s="19">
        <v>22175.23</v>
      </c>
      <c r="M16" s="21">
        <v>5222</v>
      </c>
      <c r="N16" s="23">
        <v>45051</v>
      </c>
      <c r="O16" s="30" t="s">
        <v>117</v>
      </c>
      <c r="R16" s="17"/>
    </row>
    <row r="17" spans="1:19" s="24" customFormat="1" ht="25.9" customHeight="1" x14ac:dyDescent="0.2">
      <c r="A17" s="17">
        <v>15</v>
      </c>
      <c r="B17" s="17">
        <v>9</v>
      </c>
      <c r="C17" s="25" t="s">
        <v>158</v>
      </c>
      <c r="D17" s="19">
        <v>2419.7600000000002</v>
      </c>
      <c r="E17" s="19">
        <v>6170.64</v>
      </c>
      <c r="F17" s="20">
        <f t="shared" si="1"/>
        <v>-0.60785915237317356</v>
      </c>
      <c r="G17" s="21">
        <v>367</v>
      </c>
      <c r="H17" s="22" t="s">
        <v>18</v>
      </c>
      <c r="I17" s="22" t="s">
        <v>18</v>
      </c>
      <c r="J17" s="22">
        <v>6</v>
      </c>
      <c r="K17" s="22">
        <v>2</v>
      </c>
      <c r="L17" s="19">
        <v>8590.77</v>
      </c>
      <c r="M17" s="21">
        <v>1395</v>
      </c>
      <c r="N17" s="23">
        <v>45072</v>
      </c>
      <c r="O17" s="35" t="s">
        <v>100</v>
      </c>
      <c r="R17" s="17"/>
    </row>
    <row r="18" spans="1:19" s="27" customFormat="1" ht="25.9" customHeight="1" x14ac:dyDescent="0.15">
      <c r="A18" s="17">
        <v>16</v>
      </c>
      <c r="B18" s="17">
        <v>10</v>
      </c>
      <c r="C18" s="25" t="s">
        <v>147</v>
      </c>
      <c r="D18" s="19">
        <v>1477.9</v>
      </c>
      <c r="E18" s="19">
        <v>2918.37</v>
      </c>
      <c r="F18" s="20">
        <f t="shared" si="1"/>
        <v>-0.49358717366200988</v>
      </c>
      <c r="G18" s="21">
        <v>340</v>
      </c>
      <c r="H18" s="22">
        <v>24</v>
      </c>
      <c r="I18" s="22">
        <f>G18/H18</f>
        <v>14.166666666666666</v>
      </c>
      <c r="J18" s="21">
        <v>5</v>
      </c>
      <c r="K18" s="22">
        <v>2</v>
      </c>
      <c r="L18" s="19">
        <v>4396.2700000000004</v>
      </c>
      <c r="M18" s="21">
        <v>1066</v>
      </c>
      <c r="N18" s="23">
        <v>45072</v>
      </c>
      <c r="O18" s="35" t="s">
        <v>30</v>
      </c>
      <c r="R18" s="17"/>
      <c r="S18" s="24"/>
    </row>
    <row r="19" spans="1:19" s="27" customFormat="1" ht="25.9" customHeight="1" x14ac:dyDescent="0.15">
      <c r="A19" s="17">
        <v>17</v>
      </c>
      <c r="B19" s="17">
        <v>37</v>
      </c>
      <c r="C19" s="25" t="s">
        <v>155</v>
      </c>
      <c r="D19" s="19">
        <v>1216</v>
      </c>
      <c r="E19" s="19">
        <v>99.99</v>
      </c>
      <c r="F19" s="20">
        <f t="shared" si="1"/>
        <v>11.161216121612162</v>
      </c>
      <c r="G19" s="21">
        <v>520</v>
      </c>
      <c r="H19" s="21">
        <v>22</v>
      </c>
      <c r="I19" s="22">
        <f t="shared" ref="I19:I30" si="2">G19/H19</f>
        <v>23.636363636363637</v>
      </c>
      <c r="J19" s="22">
        <v>3</v>
      </c>
      <c r="K19" s="20" t="s">
        <v>18</v>
      </c>
      <c r="L19" s="19">
        <v>185559.04000000001</v>
      </c>
      <c r="M19" s="21">
        <v>36786</v>
      </c>
      <c r="N19" s="23">
        <v>44869</v>
      </c>
      <c r="O19" s="36" t="s">
        <v>12</v>
      </c>
    </row>
    <row r="20" spans="1:19" s="27" customFormat="1" ht="25.9" customHeight="1" x14ac:dyDescent="0.15">
      <c r="A20" s="17">
        <v>18</v>
      </c>
      <c r="B20" s="17">
        <v>25</v>
      </c>
      <c r="C20" s="25" t="s">
        <v>159</v>
      </c>
      <c r="D20" s="19">
        <v>1213.93</v>
      </c>
      <c r="E20" s="19">
        <v>326.39</v>
      </c>
      <c r="F20" s="20">
        <f t="shared" si="1"/>
        <v>2.7192622322987838</v>
      </c>
      <c r="G20" s="21">
        <v>263</v>
      </c>
      <c r="H20" s="21">
        <v>14</v>
      </c>
      <c r="I20" s="22">
        <f t="shared" si="2"/>
        <v>18.785714285714285</v>
      </c>
      <c r="J20" s="22">
        <v>2</v>
      </c>
      <c r="K20" s="22" t="s">
        <v>18</v>
      </c>
      <c r="L20" s="19">
        <v>1342021.74</v>
      </c>
      <c r="M20" s="21">
        <v>249220</v>
      </c>
      <c r="N20" s="23">
        <v>44743</v>
      </c>
      <c r="O20" s="30" t="s">
        <v>61</v>
      </c>
    </row>
    <row r="21" spans="1:19" s="27" customFormat="1" ht="25.9" customHeight="1" x14ac:dyDescent="0.15">
      <c r="A21" s="17">
        <v>19</v>
      </c>
      <c r="B21" s="17">
        <v>16</v>
      </c>
      <c r="C21" s="25" t="s">
        <v>142</v>
      </c>
      <c r="D21" s="19">
        <v>1107.4000000000001</v>
      </c>
      <c r="E21" s="19">
        <v>1034.8499999999999</v>
      </c>
      <c r="F21" s="20">
        <f t="shared" si="1"/>
        <v>7.0106778760206975E-2</v>
      </c>
      <c r="G21" s="21">
        <v>190</v>
      </c>
      <c r="H21" s="21">
        <v>13</v>
      </c>
      <c r="I21" s="22">
        <f t="shared" si="2"/>
        <v>14.615384615384615</v>
      </c>
      <c r="J21" s="22">
        <v>5</v>
      </c>
      <c r="K21" s="22">
        <v>3</v>
      </c>
      <c r="L21" s="19">
        <v>5676.35</v>
      </c>
      <c r="M21" s="21">
        <v>1014</v>
      </c>
      <c r="N21" s="23">
        <v>45065</v>
      </c>
      <c r="O21" s="36" t="s">
        <v>40</v>
      </c>
    </row>
    <row r="22" spans="1:19" s="27" customFormat="1" ht="25.9" customHeight="1" x14ac:dyDescent="0.15">
      <c r="A22" s="17">
        <v>20</v>
      </c>
      <c r="B22" s="17">
        <v>18</v>
      </c>
      <c r="C22" s="25" t="s">
        <v>36</v>
      </c>
      <c r="D22" s="19">
        <v>1085.6999999999998</v>
      </c>
      <c r="E22" s="19">
        <v>936</v>
      </c>
      <c r="F22" s="20">
        <f t="shared" si="1"/>
        <v>0.15993589743589723</v>
      </c>
      <c r="G22" s="21">
        <v>155</v>
      </c>
      <c r="H22" s="21">
        <v>11</v>
      </c>
      <c r="I22" s="22">
        <f t="shared" si="2"/>
        <v>14.090909090909092</v>
      </c>
      <c r="J22" s="22">
        <v>1</v>
      </c>
      <c r="K22" s="22">
        <v>14</v>
      </c>
      <c r="L22" s="19">
        <v>234621.13000000003</v>
      </c>
      <c r="M22" s="21">
        <v>36750</v>
      </c>
      <c r="N22" s="23">
        <v>44988</v>
      </c>
      <c r="O22" s="36" t="s">
        <v>39</v>
      </c>
    </row>
    <row r="23" spans="1:19" s="27" customFormat="1" ht="25.9" customHeight="1" x14ac:dyDescent="0.15">
      <c r="A23" s="17">
        <v>21</v>
      </c>
      <c r="B23" s="17">
        <v>50</v>
      </c>
      <c r="C23" s="25" t="s">
        <v>156</v>
      </c>
      <c r="D23" s="19">
        <v>832.75</v>
      </c>
      <c r="E23" s="19">
        <v>15.96</v>
      </c>
      <c r="F23" s="20">
        <f t="shared" si="1"/>
        <v>51.17731829573934</v>
      </c>
      <c r="G23" s="21">
        <v>294</v>
      </c>
      <c r="H23" s="21">
        <v>14</v>
      </c>
      <c r="I23" s="22">
        <f t="shared" si="2"/>
        <v>21</v>
      </c>
      <c r="J23" s="22">
        <v>2</v>
      </c>
      <c r="K23" s="22" t="s">
        <v>18</v>
      </c>
      <c r="L23" s="19">
        <v>321657.81</v>
      </c>
      <c r="M23" s="21">
        <v>68650</v>
      </c>
      <c r="N23" s="23">
        <v>44771</v>
      </c>
      <c r="O23" s="35" t="s">
        <v>14</v>
      </c>
    </row>
    <row r="24" spans="1:19" s="27" customFormat="1" ht="25.5" customHeight="1" x14ac:dyDescent="0.15">
      <c r="A24" s="17">
        <v>22</v>
      </c>
      <c r="B24" s="22" t="s">
        <v>57</v>
      </c>
      <c r="C24" s="25" t="s">
        <v>174</v>
      </c>
      <c r="D24" s="19">
        <v>825.67</v>
      </c>
      <c r="E24" s="19" t="s">
        <v>18</v>
      </c>
      <c r="F24" s="20" t="s">
        <v>18</v>
      </c>
      <c r="G24" s="21">
        <v>134</v>
      </c>
      <c r="H24" s="21">
        <v>6</v>
      </c>
      <c r="I24" s="22">
        <f t="shared" si="2"/>
        <v>22.333333333333332</v>
      </c>
      <c r="J24" s="22">
        <v>5</v>
      </c>
      <c r="K24" s="22">
        <v>0</v>
      </c>
      <c r="L24" s="19">
        <v>825.67</v>
      </c>
      <c r="M24" s="21">
        <v>134</v>
      </c>
      <c r="N24" s="23" t="s">
        <v>59</v>
      </c>
      <c r="O24" s="30" t="s">
        <v>61</v>
      </c>
    </row>
    <row r="25" spans="1:19" s="27" customFormat="1" ht="25.9" customHeight="1" x14ac:dyDescent="0.15">
      <c r="A25" s="17">
        <v>23</v>
      </c>
      <c r="B25" s="22" t="s">
        <v>18</v>
      </c>
      <c r="C25" s="25" t="s">
        <v>168</v>
      </c>
      <c r="D25" s="19">
        <v>777.5</v>
      </c>
      <c r="E25" s="20" t="s">
        <v>18</v>
      </c>
      <c r="F25" s="20" t="s">
        <v>18</v>
      </c>
      <c r="G25" s="21">
        <v>363</v>
      </c>
      <c r="H25" s="21">
        <v>14</v>
      </c>
      <c r="I25" s="22">
        <f t="shared" si="2"/>
        <v>25.928571428571427</v>
      </c>
      <c r="J25" s="22">
        <v>2</v>
      </c>
      <c r="K25" s="22" t="s">
        <v>18</v>
      </c>
      <c r="L25" s="19">
        <v>167260.13</v>
      </c>
      <c r="M25" s="21">
        <v>34168</v>
      </c>
      <c r="N25" s="23">
        <v>44925</v>
      </c>
      <c r="O25" s="35" t="s">
        <v>16</v>
      </c>
    </row>
    <row r="26" spans="1:19" s="27" customFormat="1" ht="25.9" customHeight="1" x14ac:dyDescent="0.15">
      <c r="A26" s="17">
        <v>24</v>
      </c>
      <c r="B26" s="17">
        <v>15</v>
      </c>
      <c r="C26" s="25" t="s">
        <v>160</v>
      </c>
      <c r="D26" s="19">
        <v>754.3</v>
      </c>
      <c r="E26" s="19">
        <v>1085.96</v>
      </c>
      <c r="F26" s="20">
        <f>(D26-E26)/E26</f>
        <v>-0.30540719731850169</v>
      </c>
      <c r="G26" s="21">
        <v>195</v>
      </c>
      <c r="H26" s="21">
        <v>14</v>
      </c>
      <c r="I26" s="22">
        <f t="shared" si="2"/>
        <v>13.928571428571429</v>
      </c>
      <c r="J26" s="22">
        <v>8</v>
      </c>
      <c r="K26" s="22">
        <v>2</v>
      </c>
      <c r="L26" s="19">
        <v>1840</v>
      </c>
      <c r="M26" s="21">
        <v>443</v>
      </c>
      <c r="N26" s="23">
        <v>45072</v>
      </c>
      <c r="O26" s="35" t="s">
        <v>117</v>
      </c>
    </row>
    <row r="27" spans="1:19" s="27" customFormat="1" ht="25.9" customHeight="1" x14ac:dyDescent="0.15">
      <c r="A27" s="17">
        <v>25</v>
      </c>
      <c r="B27" s="17">
        <v>39</v>
      </c>
      <c r="C27" s="25" t="s">
        <v>133</v>
      </c>
      <c r="D27" s="19">
        <v>640.5</v>
      </c>
      <c r="E27" s="19">
        <v>73.5</v>
      </c>
      <c r="F27" s="20">
        <f>(D27-E27)/E27</f>
        <v>7.7142857142857144</v>
      </c>
      <c r="G27" s="21">
        <v>210</v>
      </c>
      <c r="H27" s="21">
        <v>2</v>
      </c>
      <c r="I27" s="22">
        <f t="shared" si="2"/>
        <v>105</v>
      </c>
      <c r="J27" s="22">
        <v>1</v>
      </c>
      <c r="K27" s="20" t="s">
        <v>18</v>
      </c>
      <c r="L27" s="19">
        <v>235439.5</v>
      </c>
      <c r="M27" s="21">
        <v>50948</v>
      </c>
      <c r="N27" s="23">
        <v>44400</v>
      </c>
      <c r="O27" s="30" t="s">
        <v>40</v>
      </c>
    </row>
    <row r="28" spans="1:19" s="27" customFormat="1" ht="25.5" customHeight="1" x14ac:dyDescent="0.15">
      <c r="A28" s="17">
        <v>26</v>
      </c>
      <c r="B28" s="17">
        <v>26</v>
      </c>
      <c r="C28" s="25" t="s">
        <v>153</v>
      </c>
      <c r="D28" s="19">
        <v>581.05999999999995</v>
      </c>
      <c r="E28" s="19">
        <v>322</v>
      </c>
      <c r="F28" s="20">
        <f>(D28-E28)/E28</f>
        <v>0.80453416149068302</v>
      </c>
      <c r="G28" s="21">
        <v>186</v>
      </c>
      <c r="H28" s="21">
        <v>3</v>
      </c>
      <c r="I28" s="22">
        <f t="shared" si="2"/>
        <v>62</v>
      </c>
      <c r="J28" s="22">
        <v>2</v>
      </c>
      <c r="K28" s="20" t="s">
        <v>18</v>
      </c>
      <c r="L28" s="19">
        <v>85259.24</v>
      </c>
      <c r="M28" s="21">
        <v>17339</v>
      </c>
      <c r="N28" s="23">
        <v>44855</v>
      </c>
      <c r="O28" s="35" t="s">
        <v>13</v>
      </c>
    </row>
    <row r="29" spans="1:19" s="27" customFormat="1" ht="25.9" customHeight="1" x14ac:dyDescent="0.15">
      <c r="A29" s="17">
        <v>27</v>
      </c>
      <c r="B29" s="17">
        <v>19</v>
      </c>
      <c r="C29" s="18" t="s">
        <v>53</v>
      </c>
      <c r="D29" s="19">
        <v>567.62</v>
      </c>
      <c r="E29" s="19">
        <v>833.97</v>
      </c>
      <c r="F29" s="20">
        <f>(D29-E29)/E29</f>
        <v>-0.31937599673849182</v>
      </c>
      <c r="G29" s="21">
        <v>100</v>
      </c>
      <c r="H29" s="21">
        <v>7</v>
      </c>
      <c r="I29" s="22">
        <f t="shared" si="2"/>
        <v>14.285714285714286</v>
      </c>
      <c r="J29" s="22">
        <v>1</v>
      </c>
      <c r="K29" s="22">
        <v>7</v>
      </c>
      <c r="L29" s="19">
        <v>74288.55</v>
      </c>
      <c r="M29" s="21">
        <v>10671</v>
      </c>
      <c r="N29" s="23">
        <v>45037</v>
      </c>
      <c r="O29" s="30" t="s">
        <v>14</v>
      </c>
    </row>
    <row r="30" spans="1:19" s="27" customFormat="1" ht="25.9" customHeight="1" x14ac:dyDescent="0.15">
      <c r="A30" s="17">
        <v>28</v>
      </c>
      <c r="B30" s="22" t="s">
        <v>18</v>
      </c>
      <c r="C30" s="25" t="s">
        <v>34</v>
      </c>
      <c r="D30" s="19">
        <v>547</v>
      </c>
      <c r="E30" s="20" t="s">
        <v>18</v>
      </c>
      <c r="F30" s="20" t="s">
        <v>18</v>
      </c>
      <c r="G30" s="21">
        <v>233</v>
      </c>
      <c r="H30" s="21">
        <v>15</v>
      </c>
      <c r="I30" s="22">
        <f t="shared" si="2"/>
        <v>15.533333333333333</v>
      </c>
      <c r="J30" s="22">
        <v>3</v>
      </c>
      <c r="K30" s="22" t="s">
        <v>18</v>
      </c>
      <c r="L30" s="19">
        <v>71621.53</v>
      </c>
      <c r="M30" s="21">
        <v>14836</v>
      </c>
      <c r="N30" s="23">
        <v>44981</v>
      </c>
      <c r="O30" s="35" t="s">
        <v>16</v>
      </c>
    </row>
    <row r="31" spans="1:19" s="27" customFormat="1" ht="25.9" customHeight="1" x14ac:dyDescent="0.15">
      <c r="A31" s="17">
        <v>29</v>
      </c>
      <c r="B31" s="17">
        <v>20</v>
      </c>
      <c r="C31" s="25" t="s">
        <v>126</v>
      </c>
      <c r="D31" s="19">
        <v>392</v>
      </c>
      <c r="E31" s="19">
        <v>752</v>
      </c>
      <c r="F31" s="20">
        <f t="shared" ref="F31:F39" si="3">(D31-E31)/E31</f>
        <v>-0.47872340425531917</v>
      </c>
      <c r="G31" s="21">
        <v>59</v>
      </c>
      <c r="H31" s="22" t="s">
        <v>18</v>
      </c>
      <c r="I31" s="22" t="s">
        <v>18</v>
      </c>
      <c r="J31" s="22">
        <v>4</v>
      </c>
      <c r="K31" s="22">
        <v>4</v>
      </c>
      <c r="L31" s="19">
        <v>9060</v>
      </c>
      <c r="M31" s="21">
        <v>1507</v>
      </c>
      <c r="N31" s="23">
        <v>45058</v>
      </c>
      <c r="O31" s="36" t="s">
        <v>15</v>
      </c>
    </row>
    <row r="32" spans="1:19" s="27" customFormat="1" ht="25.5" customHeight="1" x14ac:dyDescent="0.15">
      <c r="A32" s="17">
        <v>30</v>
      </c>
      <c r="B32" s="17">
        <v>35</v>
      </c>
      <c r="C32" s="18" t="s">
        <v>106</v>
      </c>
      <c r="D32" s="19">
        <v>389.3</v>
      </c>
      <c r="E32" s="19">
        <v>102.7</v>
      </c>
      <c r="F32" s="20">
        <f t="shared" si="3"/>
        <v>2.7906523855890946</v>
      </c>
      <c r="G32" s="21">
        <v>66</v>
      </c>
      <c r="H32" s="21">
        <v>2</v>
      </c>
      <c r="I32" s="22">
        <f>G32/H32</f>
        <v>33</v>
      </c>
      <c r="J32" s="22">
        <v>2</v>
      </c>
      <c r="K32" s="20" t="s">
        <v>18</v>
      </c>
      <c r="L32" s="19">
        <v>40538.080000000009</v>
      </c>
      <c r="M32" s="21">
        <v>6877</v>
      </c>
      <c r="N32" s="23">
        <v>44678</v>
      </c>
      <c r="O32" s="30" t="s">
        <v>16</v>
      </c>
    </row>
    <row r="33" spans="1:15" s="27" customFormat="1" ht="25.5" customHeight="1" x14ac:dyDescent="0.15">
      <c r="A33" s="17">
        <v>31</v>
      </c>
      <c r="B33" s="17">
        <v>23</v>
      </c>
      <c r="C33" s="18" t="s">
        <v>58</v>
      </c>
      <c r="D33" s="19">
        <v>297.2</v>
      </c>
      <c r="E33" s="19">
        <v>415.6</v>
      </c>
      <c r="F33" s="20">
        <f t="shared" si="3"/>
        <v>-0.28488931665062567</v>
      </c>
      <c r="G33" s="21">
        <v>43</v>
      </c>
      <c r="H33" s="21">
        <v>3</v>
      </c>
      <c r="I33" s="22">
        <f t="shared" ref="I33:I36" si="4">G33/H33</f>
        <v>14.333333333333334</v>
      </c>
      <c r="J33" s="22">
        <v>1</v>
      </c>
      <c r="K33" s="22">
        <v>6</v>
      </c>
      <c r="L33" s="19">
        <v>10536.270000000002</v>
      </c>
      <c r="M33" s="21">
        <v>1726</v>
      </c>
      <c r="N33" s="23">
        <v>45044</v>
      </c>
      <c r="O33" s="30" t="s">
        <v>16</v>
      </c>
    </row>
    <row r="34" spans="1:15" s="61" customFormat="1" ht="25.9" customHeight="1" x14ac:dyDescent="0.2">
      <c r="A34" s="17">
        <v>32</v>
      </c>
      <c r="B34" s="17">
        <v>34</v>
      </c>
      <c r="C34" s="25" t="s">
        <v>66</v>
      </c>
      <c r="D34" s="28">
        <v>289.2</v>
      </c>
      <c r="E34" s="28">
        <v>123</v>
      </c>
      <c r="F34" s="20">
        <f t="shared" si="3"/>
        <v>1.3512195121951218</v>
      </c>
      <c r="G34" s="21">
        <v>53</v>
      </c>
      <c r="H34" s="21">
        <v>4</v>
      </c>
      <c r="I34" s="22">
        <f t="shared" si="4"/>
        <v>13.25</v>
      </c>
      <c r="J34" s="22">
        <v>3</v>
      </c>
      <c r="K34" s="22">
        <v>6</v>
      </c>
      <c r="L34" s="19">
        <v>15737.87</v>
      </c>
      <c r="M34" s="21">
        <v>2493</v>
      </c>
      <c r="N34" s="23">
        <v>45047</v>
      </c>
      <c r="O34" s="30" t="s">
        <v>61</v>
      </c>
    </row>
    <row r="35" spans="1:15" s="61" customFormat="1" ht="25.9" customHeight="1" x14ac:dyDescent="0.2">
      <c r="A35" s="17">
        <v>33</v>
      </c>
      <c r="B35" s="17">
        <v>24</v>
      </c>
      <c r="C35" s="18" t="s">
        <v>19</v>
      </c>
      <c r="D35" s="19">
        <v>276.8</v>
      </c>
      <c r="E35" s="19">
        <v>379.2</v>
      </c>
      <c r="F35" s="20">
        <f t="shared" si="3"/>
        <v>-0.27004219409282693</v>
      </c>
      <c r="G35" s="21">
        <v>41</v>
      </c>
      <c r="H35" s="21">
        <v>2</v>
      </c>
      <c r="I35" s="22">
        <f t="shared" si="4"/>
        <v>20.5</v>
      </c>
      <c r="J35" s="22">
        <v>1</v>
      </c>
      <c r="K35" s="22">
        <v>9</v>
      </c>
      <c r="L35" s="19">
        <v>136718.25</v>
      </c>
      <c r="M35" s="21">
        <v>19740</v>
      </c>
      <c r="N35" s="23">
        <v>45023</v>
      </c>
      <c r="O35" s="30" t="s">
        <v>12</v>
      </c>
    </row>
    <row r="36" spans="1:15" s="61" customFormat="1" ht="25.9" customHeight="1" x14ac:dyDescent="0.2">
      <c r="A36" s="17">
        <v>34</v>
      </c>
      <c r="B36" s="17">
        <v>30</v>
      </c>
      <c r="C36" s="25" t="s">
        <v>154</v>
      </c>
      <c r="D36" s="19">
        <v>273</v>
      </c>
      <c r="E36" s="19">
        <v>266.5</v>
      </c>
      <c r="F36" s="20">
        <f t="shared" si="3"/>
        <v>2.4390243902439025E-2</v>
      </c>
      <c r="G36" s="21">
        <v>98</v>
      </c>
      <c r="H36" s="21">
        <v>1</v>
      </c>
      <c r="I36" s="22">
        <f t="shared" si="4"/>
        <v>98</v>
      </c>
      <c r="J36" s="22">
        <v>1</v>
      </c>
      <c r="K36" s="20" t="s">
        <v>18</v>
      </c>
      <c r="L36" s="19">
        <v>187640.48</v>
      </c>
      <c r="M36" s="21">
        <v>46762</v>
      </c>
      <c r="N36" s="23">
        <v>44659</v>
      </c>
      <c r="O36" s="35" t="s">
        <v>13</v>
      </c>
    </row>
    <row r="37" spans="1:15" s="61" customFormat="1" ht="25.9" customHeight="1" x14ac:dyDescent="0.2">
      <c r="A37" s="17">
        <v>35</v>
      </c>
      <c r="B37" s="17">
        <v>14</v>
      </c>
      <c r="C37" s="25" t="s">
        <v>141</v>
      </c>
      <c r="D37" s="19">
        <v>189.39</v>
      </c>
      <c r="E37" s="19">
        <v>1158.57</v>
      </c>
      <c r="F37" s="20">
        <f t="shared" si="3"/>
        <v>-0.83653124109894095</v>
      </c>
      <c r="G37" s="21">
        <v>38</v>
      </c>
      <c r="H37" s="22" t="s">
        <v>18</v>
      </c>
      <c r="I37" s="22" t="s">
        <v>18</v>
      </c>
      <c r="J37" s="22">
        <v>1</v>
      </c>
      <c r="K37" s="22">
        <v>3</v>
      </c>
      <c r="L37" s="19">
        <v>2852.96</v>
      </c>
      <c r="M37" s="21">
        <v>526</v>
      </c>
      <c r="N37" s="23">
        <v>45065</v>
      </c>
      <c r="O37" s="36" t="s">
        <v>100</v>
      </c>
    </row>
    <row r="38" spans="1:15" s="61" customFormat="1" ht="25.5" customHeight="1" x14ac:dyDescent="0.2">
      <c r="A38" s="17">
        <v>36</v>
      </c>
      <c r="B38" s="17">
        <v>40</v>
      </c>
      <c r="C38" s="18" t="s">
        <v>37</v>
      </c>
      <c r="D38" s="19">
        <v>181.46</v>
      </c>
      <c r="E38" s="19">
        <v>68.900000000000006</v>
      </c>
      <c r="F38" s="20">
        <f t="shared" si="3"/>
        <v>1.6336719883889694</v>
      </c>
      <c r="G38" s="21">
        <v>36</v>
      </c>
      <c r="H38" s="21">
        <v>3</v>
      </c>
      <c r="I38" s="22">
        <f>G38/H38</f>
        <v>12</v>
      </c>
      <c r="J38" s="22">
        <v>2</v>
      </c>
      <c r="K38" s="22">
        <v>16</v>
      </c>
      <c r="L38" s="19">
        <v>278243.19</v>
      </c>
      <c r="M38" s="21">
        <v>46775</v>
      </c>
      <c r="N38" s="23">
        <v>44973</v>
      </c>
      <c r="O38" s="30" t="s">
        <v>13</v>
      </c>
    </row>
    <row r="39" spans="1:15" s="61" customFormat="1" ht="25.9" customHeight="1" x14ac:dyDescent="0.2">
      <c r="A39" s="17">
        <v>37</v>
      </c>
      <c r="B39" s="17">
        <v>36</v>
      </c>
      <c r="C39" s="25" t="s">
        <v>43</v>
      </c>
      <c r="D39" s="19">
        <v>160.69999999999999</v>
      </c>
      <c r="E39" s="19">
        <v>101.7</v>
      </c>
      <c r="F39" s="20">
        <f t="shared" si="3"/>
        <v>0.58013765978367737</v>
      </c>
      <c r="G39" s="21">
        <v>29</v>
      </c>
      <c r="H39" s="21">
        <v>2</v>
      </c>
      <c r="I39" s="22">
        <f t="shared" ref="I39:I45" si="5">G39/H39</f>
        <v>14.5</v>
      </c>
      <c r="J39" s="22">
        <v>2</v>
      </c>
      <c r="K39" s="22">
        <v>15</v>
      </c>
      <c r="L39" s="19">
        <v>129867.08</v>
      </c>
      <c r="M39" s="21">
        <v>20378</v>
      </c>
      <c r="N39" s="23">
        <v>44981</v>
      </c>
      <c r="O39" s="36" t="s">
        <v>17</v>
      </c>
    </row>
    <row r="40" spans="1:15" s="61" customFormat="1" ht="25.5" customHeight="1" x14ac:dyDescent="0.2">
      <c r="A40" s="17">
        <v>38</v>
      </c>
      <c r="B40" s="22" t="s">
        <v>18</v>
      </c>
      <c r="C40" s="25" t="s">
        <v>42</v>
      </c>
      <c r="D40" s="19">
        <v>154.47999999999999</v>
      </c>
      <c r="E40" s="20" t="s">
        <v>18</v>
      </c>
      <c r="F40" s="20" t="s">
        <v>18</v>
      </c>
      <c r="G40" s="21">
        <v>47</v>
      </c>
      <c r="H40" s="21">
        <v>1</v>
      </c>
      <c r="I40" s="22">
        <f t="shared" si="5"/>
        <v>47</v>
      </c>
      <c r="J40" s="22">
        <v>1</v>
      </c>
      <c r="K40" s="22" t="s">
        <v>18</v>
      </c>
      <c r="L40" s="19">
        <v>324969.93</v>
      </c>
      <c r="M40" s="21">
        <v>64423</v>
      </c>
      <c r="N40" s="23">
        <v>44960</v>
      </c>
      <c r="O40" s="35" t="s">
        <v>14</v>
      </c>
    </row>
    <row r="41" spans="1:15" s="61" customFormat="1" ht="25.5" customHeight="1" x14ac:dyDescent="0.2">
      <c r="A41" s="17">
        <v>39</v>
      </c>
      <c r="B41" s="17">
        <v>51</v>
      </c>
      <c r="C41" s="25" t="s">
        <v>94</v>
      </c>
      <c r="D41" s="19">
        <v>150.80000000000001</v>
      </c>
      <c r="E41" s="19">
        <v>11</v>
      </c>
      <c r="F41" s="20">
        <f>(D41-E41)/E41</f>
        <v>12.709090909090911</v>
      </c>
      <c r="G41" s="21">
        <v>31</v>
      </c>
      <c r="H41" s="21">
        <v>4</v>
      </c>
      <c r="I41" s="22">
        <f t="shared" si="5"/>
        <v>7.75</v>
      </c>
      <c r="J41" s="22">
        <v>3</v>
      </c>
      <c r="K41" s="22">
        <v>7</v>
      </c>
      <c r="L41" s="19">
        <v>2873.0000000000005</v>
      </c>
      <c r="M41" s="21">
        <v>523</v>
      </c>
      <c r="N41" s="23">
        <v>45043</v>
      </c>
      <c r="O41" s="36" t="s">
        <v>95</v>
      </c>
    </row>
    <row r="42" spans="1:15" s="61" customFormat="1" ht="25.5" customHeight="1" x14ac:dyDescent="0.2">
      <c r="A42" s="17">
        <v>40</v>
      </c>
      <c r="B42" s="11" t="s">
        <v>57</v>
      </c>
      <c r="C42" s="13" t="s">
        <v>169</v>
      </c>
      <c r="D42" s="8">
        <v>147.80000000000001</v>
      </c>
      <c r="E42" s="20" t="s">
        <v>18</v>
      </c>
      <c r="F42" s="20" t="s">
        <v>18</v>
      </c>
      <c r="G42" s="10">
        <v>22</v>
      </c>
      <c r="H42" s="10">
        <v>6</v>
      </c>
      <c r="I42" s="22">
        <f t="shared" si="5"/>
        <v>3.6666666666666665</v>
      </c>
      <c r="J42" s="11">
        <v>6</v>
      </c>
      <c r="K42" s="11">
        <v>0</v>
      </c>
      <c r="L42" s="19">
        <v>147.80000000000001</v>
      </c>
      <c r="M42" s="21">
        <v>22</v>
      </c>
      <c r="N42" s="12" t="s">
        <v>59</v>
      </c>
      <c r="O42" s="62" t="s">
        <v>170</v>
      </c>
    </row>
    <row r="43" spans="1:15" s="61" customFormat="1" ht="25.5" customHeight="1" x14ac:dyDescent="0.2">
      <c r="A43" s="17">
        <v>41</v>
      </c>
      <c r="B43" s="17">
        <v>21</v>
      </c>
      <c r="C43" s="18" t="s">
        <v>67</v>
      </c>
      <c r="D43" s="19">
        <v>103.6</v>
      </c>
      <c r="E43" s="19">
        <v>584.70000000000005</v>
      </c>
      <c r="F43" s="20">
        <f t="shared" ref="F43:F48" si="6">(D43-E43)/E43</f>
        <v>-0.82281511886437486</v>
      </c>
      <c r="G43" s="21">
        <v>17</v>
      </c>
      <c r="H43" s="21">
        <v>1</v>
      </c>
      <c r="I43" s="22">
        <f t="shared" si="5"/>
        <v>17</v>
      </c>
      <c r="J43" s="22">
        <v>1</v>
      </c>
      <c r="K43" s="22">
        <v>11</v>
      </c>
      <c r="L43" s="19">
        <v>55560</v>
      </c>
      <c r="M43" s="21">
        <v>7367</v>
      </c>
      <c r="N43" s="23">
        <v>45012</v>
      </c>
      <c r="O43" s="30" t="s">
        <v>68</v>
      </c>
    </row>
    <row r="44" spans="1:15" s="45" customFormat="1" ht="25.5" customHeight="1" x14ac:dyDescent="0.2">
      <c r="A44" s="17">
        <v>42</v>
      </c>
      <c r="B44" s="17">
        <v>33</v>
      </c>
      <c r="C44" s="18" t="s">
        <v>102</v>
      </c>
      <c r="D44" s="19">
        <v>81.2</v>
      </c>
      <c r="E44" s="19">
        <v>153</v>
      </c>
      <c r="F44" s="20">
        <f t="shared" si="6"/>
        <v>-0.46928104575163399</v>
      </c>
      <c r="G44" s="21">
        <v>12</v>
      </c>
      <c r="H44" s="21">
        <v>3</v>
      </c>
      <c r="I44" s="22">
        <f t="shared" si="5"/>
        <v>4</v>
      </c>
      <c r="J44" s="22">
        <v>2</v>
      </c>
      <c r="K44" s="22">
        <v>5</v>
      </c>
      <c r="L44" s="19">
        <v>3463</v>
      </c>
      <c r="M44" s="21">
        <v>609</v>
      </c>
      <c r="N44" s="23">
        <v>45051</v>
      </c>
      <c r="O44" s="30" t="s">
        <v>68</v>
      </c>
    </row>
    <row r="45" spans="1:15" s="61" customFormat="1" ht="25.5" customHeight="1" x14ac:dyDescent="0.2">
      <c r="A45" s="17">
        <v>43</v>
      </c>
      <c r="B45" s="17">
        <v>31</v>
      </c>
      <c r="C45" s="25" t="s">
        <v>23</v>
      </c>
      <c r="D45" s="19">
        <v>70</v>
      </c>
      <c r="E45" s="19">
        <v>223.8</v>
      </c>
      <c r="F45" s="20">
        <f t="shared" si="6"/>
        <v>-0.68722073279714035</v>
      </c>
      <c r="G45" s="21">
        <v>11</v>
      </c>
      <c r="H45" s="21">
        <v>1</v>
      </c>
      <c r="I45" s="22">
        <f t="shared" si="5"/>
        <v>11</v>
      </c>
      <c r="J45" s="22">
        <v>1</v>
      </c>
      <c r="K45" s="22">
        <v>8</v>
      </c>
      <c r="L45" s="19">
        <v>35591.99</v>
      </c>
      <c r="M45" s="21">
        <v>5586</v>
      </c>
      <c r="N45" s="23">
        <v>45030</v>
      </c>
      <c r="O45" s="36" t="s">
        <v>12</v>
      </c>
    </row>
    <row r="46" spans="1:15" s="61" customFormat="1" ht="25.5" customHeight="1" x14ac:dyDescent="0.2">
      <c r="A46" s="17">
        <v>44</v>
      </c>
      <c r="B46" s="17">
        <v>48</v>
      </c>
      <c r="C46" s="18" t="s">
        <v>22</v>
      </c>
      <c r="D46" s="19">
        <v>57</v>
      </c>
      <c r="E46" s="19">
        <v>21</v>
      </c>
      <c r="F46" s="20">
        <f t="shared" si="6"/>
        <v>1.7142857142857142</v>
      </c>
      <c r="G46" s="21">
        <v>7</v>
      </c>
      <c r="H46" s="21" t="s">
        <v>18</v>
      </c>
      <c r="I46" s="21" t="s">
        <v>18</v>
      </c>
      <c r="J46" s="22">
        <v>1</v>
      </c>
      <c r="K46" s="22">
        <v>8</v>
      </c>
      <c r="L46" s="19">
        <v>52907</v>
      </c>
      <c r="M46" s="21">
        <v>8002</v>
      </c>
      <c r="N46" s="23">
        <v>45030</v>
      </c>
      <c r="O46" s="30" t="s">
        <v>15</v>
      </c>
    </row>
    <row r="47" spans="1:15" s="61" customFormat="1" ht="25.5" customHeight="1" x14ac:dyDescent="0.2">
      <c r="A47" s="17">
        <v>45</v>
      </c>
      <c r="B47" s="17">
        <v>54</v>
      </c>
      <c r="C47" s="25" t="s">
        <v>110</v>
      </c>
      <c r="D47" s="19">
        <v>52.3</v>
      </c>
      <c r="E47" s="19">
        <v>3.5</v>
      </c>
      <c r="F47" s="20">
        <f t="shared" si="6"/>
        <v>13.942857142857141</v>
      </c>
      <c r="G47" s="21">
        <v>12</v>
      </c>
      <c r="H47" s="21">
        <v>3</v>
      </c>
      <c r="I47" s="22">
        <f>G47/H47</f>
        <v>4</v>
      </c>
      <c r="J47" s="22">
        <v>2</v>
      </c>
      <c r="K47" s="22">
        <v>5</v>
      </c>
      <c r="L47" s="19">
        <v>953.15</v>
      </c>
      <c r="M47" s="21">
        <v>174</v>
      </c>
      <c r="N47" s="23">
        <v>45052</v>
      </c>
      <c r="O47" s="30" t="s">
        <v>30</v>
      </c>
    </row>
    <row r="48" spans="1:15" s="61" customFormat="1" ht="25.5" customHeight="1" x14ac:dyDescent="0.2">
      <c r="A48" s="17">
        <v>46</v>
      </c>
      <c r="B48" s="17">
        <v>27</v>
      </c>
      <c r="C48" s="18" t="s">
        <v>136</v>
      </c>
      <c r="D48" s="19">
        <v>40</v>
      </c>
      <c r="E48" s="19">
        <v>300.64999999999998</v>
      </c>
      <c r="F48" s="20">
        <f t="shared" si="6"/>
        <v>-0.86695493098287046</v>
      </c>
      <c r="G48" s="21">
        <v>8</v>
      </c>
      <c r="H48" s="21">
        <v>2</v>
      </c>
      <c r="I48" s="22">
        <f t="shared" ref="I48:I49" si="7">G48/H48</f>
        <v>4</v>
      </c>
      <c r="J48" s="22">
        <v>2</v>
      </c>
      <c r="K48" s="22">
        <v>3</v>
      </c>
      <c r="L48" s="19">
        <v>1243</v>
      </c>
      <c r="M48" s="21">
        <v>298</v>
      </c>
      <c r="N48" s="23">
        <v>45065</v>
      </c>
      <c r="O48" s="30" t="s">
        <v>68</v>
      </c>
    </row>
    <row r="49" spans="1:15" s="61" customFormat="1" ht="25.5" customHeight="1" x14ac:dyDescent="0.2">
      <c r="A49" s="17">
        <v>47</v>
      </c>
      <c r="B49" s="22" t="s">
        <v>18</v>
      </c>
      <c r="C49" s="13" t="s">
        <v>175</v>
      </c>
      <c r="D49" s="8">
        <v>34</v>
      </c>
      <c r="E49" s="19" t="s">
        <v>18</v>
      </c>
      <c r="F49" s="20" t="s">
        <v>18</v>
      </c>
      <c r="G49" s="10">
        <v>7</v>
      </c>
      <c r="H49" s="10">
        <v>1</v>
      </c>
      <c r="I49" s="22">
        <f t="shared" si="7"/>
        <v>7</v>
      </c>
      <c r="J49" s="11">
        <v>1</v>
      </c>
      <c r="K49" s="22" t="s">
        <v>18</v>
      </c>
      <c r="L49" s="19">
        <v>203</v>
      </c>
      <c r="M49" s="21">
        <v>38</v>
      </c>
      <c r="N49" s="12">
        <v>45012</v>
      </c>
      <c r="O49" s="62" t="s">
        <v>68</v>
      </c>
    </row>
    <row r="50" spans="1:15" s="45" customFormat="1" ht="25.5" customHeight="1" x14ac:dyDescent="0.2">
      <c r="A50" s="46" t="s">
        <v>85</v>
      </c>
      <c r="B50" s="51" t="s">
        <v>85</v>
      </c>
      <c r="C50" s="46" t="s">
        <v>109</v>
      </c>
      <c r="D50" s="47">
        <f>SUBTOTAL(109,Table1324587[Pajamos 
(GBO)])</f>
        <v>276525.07</v>
      </c>
      <c r="E50" s="47" t="s">
        <v>166</v>
      </c>
      <c r="F50" s="42">
        <f>(D50-E50)/E50</f>
        <v>0.32071044436802693</v>
      </c>
      <c r="G50" s="43">
        <f>SUBTOTAL(109,Table1324587[Žiūrovų sk. 
(ADM)])</f>
        <v>47512</v>
      </c>
      <c r="H50" s="55"/>
      <c r="I50" s="46"/>
      <c r="J50" s="51"/>
      <c r="K50" s="46"/>
      <c r="L50" s="53"/>
      <c r="M50" s="55"/>
      <c r="N50" s="60"/>
      <c r="O50" s="46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BC2E4-7A6A-4135-82AB-58B8A837F81E}">
  <sheetPr>
    <pageSetUpPr fitToPage="1"/>
  </sheetPr>
  <dimension ref="A1:XFC57"/>
  <sheetViews>
    <sheetView topLeftCell="A11" zoomScale="60" zoomScaleNormal="60" workbookViewId="0">
      <selection activeCell="C26" sqref="C26"/>
    </sheetView>
  </sheetViews>
  <sheetFormatPr defaultColWidth="0" defaultRowHeight="11.25" zeroHeight="1" x14ac:dyDescent="0.15"/>
  <cols>
    <col min="1" max="1" width="4.7109375" style="1" customWidth="1"/>
    <col min="2" max="2" width="4.7109375" style="38" customWidth="1"/>
    <col min="3" max="3" width="30.7109375" style="1" customWidth="1"/>
    <col min="4" max="5" width="20.7109375" style="37" customWidth="1"/>
    <col min="6" max="6" width="20.7109375" style="58" customWidth="1"/>
    <col min="7" max="8" width="20.7109375" style="56" customWidth="1"/>
    <col min="9" max="9" width="20.7109375" style="1" customWidth="1"/>
    <col min="10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145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1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4" t="s">
        <v>4</v>
      </c>
      <c r="I2" s="15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17">
        <v>1</v>
      </c>
      <c r="B3" s="22">
        <v>1</v>
      </c>
      <c r="C3" s="25" t="s">
        <v>132</v>
      </c>
      <c r="D3" s="19">
        <v>75839.47</v>
      </c>
      <c r="E3" s="19">
        <v>132821.12</v>
      </c>
      <c r="F3" s="20">
        <f>(D3-E3)/E3</f>
        <v>-0.42901046158924122</v>
      </c>
      <c r="G3" s="21">
        <v>10583</v>
      </c>
      <c r="H3" s="21">
        <v>425</v>
      </c>
      <c r="I3" s="21">
        <f t="shared" ref="I3:I10" si="0">G3/H3</f>
        <v>24.901176470588236</v>
      </c>
      <c r="J3" s="22">
        <v>27</v>
      </c>
      <c r="K3" s="22">
        <v>2</v>
      </c>
      <c r="L3" s="19">
        <v>236681.54</v>
      </c>
      <c r="M3" s="21">
        <v>31951</v>
      </c>
      <c r="N3" s="23">
        <v>45065</v>
      </c>
      <c r="O3" s="30" t="s">
        <v>61</v>
      </c>
    </row>
    <row r="4" spans="1:18" s="24" customFormat="1" ht="25.9" customHeight="1" x14ac:dyDescent="0.2">
      <c r="A4" s="17">
        <v>2</v>
      </c>
      <c r="B4" s="22">
        <v>2</v>
      </c>
      <c r="C4" s="25" t="s">
        <v>97</v>
      </c>
      <c r="D4" s="19">
        <v>24609.53</v>
      </c>
      <c r="E4" s="19">
        <v>31431.22</v>
      </c>
      <c r="F4" s="20">
        <f>(D4-E4)/E4</f>
        <v>-0.21703548255524291</v>
      </c>
      <c r="G4" s="21">
        <v>3892</v>
      </c>
      <c r="H4" s="21">
        <v>183</v>
      </c>
      <c r="I4" s="21">
        <f t="shared" si="0"/>
        <v>21.26775956284153</v>
      </c>
      <c r="J4" s="22">
        <v>14</v>
      </c>
      <c r="K4" s="22">
        <v>4</v>
      </c>
      <c r="L4" s="19">
        <v>235858.45</v>
      </c>
      <c r="M4" s="21">
        <v>32602</v>
      </c>
      <c r="N4" s="23">
        <v>45051</v>
      </c>
      <c r="O4" s="36" t="s">
        <v>40</v>
      </c>
    </row>
    <row r="5" spans="1:18" s="24" customFormat="1" ht="25.9" customHeight="1" x14ac:dyDescent="0.2">
      <c r="A5" s="17">
        <v>3</v>
      </c>
      <c r="B5" s="22" t="s">
        <v>31</v>
      </c>
      <c r="C5" s="18" t="s">
        <v>143</v>
      </c>
      <c r="D5" s="19">
        <v>23486.75</v>
      </c>
      <c r="E5" s="21" t="s">
        <v>18</v>
      </c>
      <c r="F5" s="21" t="s">
        <v>18</v>
      </c>
      <c r="G5" s="21">
        <v>4483</v>
      </c>
      <c r="H5" s="21">
        <v>241</v>
      </c>
      <c r="I5" s="21">
        <f t="shared" si="0"/>
        <v>18.601659751037346</v>
      </c>
      <c r="J5" s="22">
        <v>16</v>
      </c>
      <c r="K5" s="22">
        <v>1</v>
      </c>
      <c r="L5" s="19">
        <v>24212.560000000001</v>
      </c>
      <c r="M5" s="21">
        <v>4610</v>
      </c>
      <c r="N5" s="23">
        <v>45072</v>
      </c>
      <c r="O5" s="30" t="s">
        <v>40</v>
      </c>
      <c r="R5" s="17"/>
    </row>
    <row r="6" spans="1:18" s="63" customFormat="1" ht="25.9" customHeight="1" x14ac:dyDescent="0.2">
      <c r="A6" s="17">
        <v>4</v>
      </c>
      <c r="B6" s="22">
        <v>3</v>
      </c>
      <c r="C6" s="18" t="s">
        <v>11</v>
      </c>
      <c r="D6" s="19">
        <v>19062.37</v>
      </c>
      <c r="E6" s="19">
        <v>17437.36</v>
      </c>
      <c r="F6" s="20">
        <f>(D6-E6)/E6</f>
        <v>9.3191285836846771E-2</v>
      </c>
      <c r="G6" s="21">
        <v>3812</v>
      </c>
      <c r="H6" s="21">
        <v>179</v>
      </c>
      <c r="I6" s="21">
        <f t="shared" si="0"/>
        <v>21.296089385474861</v>
      </c>
      <c r="J6" s="22">
        <v>15</v>
      </c>
      <c r="K6" s="22">
        <v>8</v>
      </c>
      <c r="L6" s="19">
        <v>523727.55</v>
      </c>
      <c r="M6" s="21">
        <v>95038</v>
      </c>
      <c r="N6" s="23">
        <v>45023</v>
      </c>
      <c r="O6" s="30" t="s">
        <v>61</v>
      </c>
      <c r="R6" s="6"/>
    </row>
    <row r="7" spans="1:18" s="24" customFormat="1" ht="25.9" customHeight="1" x14ac:dyDescent="0.2">
      <c r="A7" s="17">
        <v>5</v>
      </c>
      <c r="B7" s="19" t="s">
        <v>57</v>
      </c>
      <c r="C7" s="13" t="s">
        <v>151</v>
      </c>
      <c r="D7" s="8">
        <v>13166.49</v>
      </c>
      <c r="E7" s="8" t="s">
        <v>18</v>
      </c>
      <c r="F7" s="20" t="s">
        <v>18</v>
      </c>
      <c r="G7" s="10">
        <v>2074</v>
      </c>
      <c r="H7" s="10">
        <v>20</v>
      </c>
      <c r="I7" s="11">
        <f t="shared" si="0"/>
        <v>103.7</v>
      </c>
      <c r="J7" s="11">
        <v>10</v>
      </c>
      <c r="K7" s="11">
        <v>0</v>
      </c>
      <c r="L7" s="19">
        <v>13166.49</v>
      </c>
      <c r="M7" s="21">
        <v>2074</v>
      </c>
      <c r="N7" s="12" t="s">
        <v>59</v>
      </c>
      <c r="O7" s="36" t="s">
        <v>12</v>
      </c>
      <c r="R7" s="17"/>
    </row>
    <row r="8" spans="1:18" s="24" customFormat="1" ht="25.9" customHeight="1" x14ac:dyDescent="0.2">
      <c r="A8" s="17">
        <v>6</v>
      </c>
      <c r="B8" s="22" t="s">
        <v>152</v>
      </c>
      <c r="C8" s="25" t="s">
        <v>140</v>
      </c>
      <c r="D8" s="28">
        <v>11431.82</v>
      </c>
      <c r="E8" s="21" t="s">
        <v>18</v>
      </c>
      <c r="F8" s="21" t="s">
        <v>18</v>
      </c>
      <c r="G8" s="29">
        <v>1960</v>
      </c>
      <c r="H8" s="21">
        <v>168</v>
      </c>
      <c r="I8" s="22">
        <f t="shared" si="0"/>
        <v>11.666666666666666</v>
      </c>
      <c r="J8" s="22">
        <v>16</v>
      </c>
      <c r="K8" s="22">
        <v>1</v>
      </c>
      <c r="L8" s="28">
        <v>11815.77</v>
      </c>
      <c r="M8" s="29">
        <v>2031</v>
      </c>
      <c r="N8" s="23">
        <v>45072</v>
      </c>
      <c r="O8" s="36" t="s">
        <v>13</v>
      </c>
      <c r="R8" s="17"/>
    </row>
    <row r="9" spans="1:18" s="24" customFormat="1" ht="25.9" customHeight="1" x14ac:dyDescent="0.2">
      <c r="A9" s="17">
        <v>7</v>
      </c>
      <c r="B9" s="11">
        <v>4</v>
      </c>
      <c r="C9" s="7" t="s">
        <v>50</v>
      </c>
      <c r="D9" s="8">
        <v>8469</v>
      </c>
      <c r="E9" s="8">
        <v>10758.47</v>
      </c>
      <c r="F9" s="9">
        <f>(D9-E9)/E9</f>
        <v>-0.21280628193414114</v>
      </c>
      <c r="G9" s="10">
        <v>1734</v>
      </c>
      <c r="H9" s="10">
        <v>152</v>
      </c>
      <c r="I9" s="10">
        <f t="shared" si="0"/>
        <v>11.407894736842104</v>
      </c>
      <c r="J9" s="11">
        <v>10</v>
      </c>
      <c r="K9" s="11">
        <v>6</v>
      </c>
      <c r="L9" s="8">
        <v>233114.90000000002</v>
      </c>
      <c r="M9" s="10">
        <v>46261</v>
      </c>
      <c r="N9" s="12">
        <v>45037</v>
      </c>
      <c r="O9" s="31" t="s">
        <v>51</v>
      </c>
      <c r="R9" s="17"/>
    </row>
    <row r="10" spans="1:18" s="24" customFormat="1" ht="25.9" customHeight="1" x14ac:dyDescent="0.2">
      <c r="A10" s="17">
        <v>8</v>
      </c>
      <c r="B10" s="22">
        <v>5</v>
      </c>
      <c r="C10" s="25" t="s">
        <v>127</v>
      </c>
      <c r="D10" s="19">
        <v>6296.44</v>
      </c>
      <c r="E10" s="19">
        <v>8907.1</v>
      </c>
      <c r="F10" s="20">
        <f>(D10-E10)/E10</f>
        <v>-0.29309876390744471</v>
      </c>
      <c r="G10" s="21">
        <v>1374</v>
      </c>
      <c r="H10" s="21">
        <v>77</v>
      </c>
      <c r="I10" s="21">
        <f t="shared" si="0"/>
        <v>17.844155844155843</v>
      </c>
      <c r="J10" s="22">
        <v>14</v>
      </c>
      <c r="K10" s="22">
        <v>3</v>
      </c>
      <c r="L10" s="19">
        <v>24694.69</v>
      </c>
      <c r="M10" s="21">
        <v>5260</v>
      </c>
      <c r="N10" s="23">
        <v>45058</v>
      </c>
      <c r="O10" s="36" t="s">
        <v>13</v>
      </c>
      <c r="R10" s="17"/>
    </row>
    <row r="11" spans="1:18" s="24" customFormat="1" ht="25.9" customHeight="1" x14ac:dyDescent="0.2">
      <c r="A11" s="17">
        <v>9</v>
      </c>
      <c r="B11" s="11" t="s">
        <v>31</v>
      </c>
      <c r="C11" s="13" t="s">
        <v>158</v>
      </c>
      <c r="D11" s="8">
        <v>6170.64</v>
      </c>
      <c r="E11" s="8" t="s">
        <v>18</v>
      </c>
      <c r="F11" s="20" t="s">
        <v>18</v>
      </c>
      <c r="G11" s="10">
        <v>1028</v>
      </c>
      <c r="H11" s="10" t="s">
        <v>18</v>
      </c>
      <c r="I11" s="11" t="s">
        <v>18</v>
      </c>
      <c r="J11" s="11">
        <v>9</v>
      </c>
      <c r="K11" s="11">
        <v>1</v>
      </c>
      <c r="L11" s="19">
        <v>6170.64</v>
      </c>
      <c r="M11" s="21">
        <v>1028</v>
      </c>
      <c r="N11" s="12">
        <v>45072</v>
      </c>
      <c r="O11" s="62" t="s">
        <v>100</v>
      </c>
      <c r="R11" s="17"/>
    </row>
    <row r="12" spans="1:18" s="63" customFormat="1" ht="25.9" customHeight="1" x14ac:dyDescent="0.2">
      <c r="A12" s="17">
        <v>10</v>
      </c>
      <c r="B12" s="6" t="s">
        <v>31</v>
      </c>
      <c r="C12" s="25" t="s">
        <v>147</v>
      </c>
      <c r="D12" s="19">
        <v>2918.37</v>
      </c>
      <c r="E12" s="19" t="s">
        <v>18</v>
      </c>
      <c r="F12" s="20" t="s">
        <v>18</v>
      </c>
      <c r="G12" s="21">
        <v>726</v>
      </c>
      <c r="H12" s="22">
        <v>28</v>
      </c>
      <c r="I12" s="22">
        <f>G12/H12</f>
        <v>25.928571428571427</v>
      </c>
      <c r="J12" s="21">
        <v>5</v>
      </c>
      <c r="K12" s="22">
        <v>1</v>
      </c>
      <c r="L12" s="19">
        <v>2918.37</v>
      </c>
      <c r="M12" s="21">
        <v>726</v>
      </c>
      <c r="N12" s="23">
        <v>45072</v>
      </c>
      <c r="O12" s="35" t="s">
        <v>30</v>
      </c>
      <c r="R12" s="6"/>
    </row>
    <row r="13" spans="1:18" s="24" customFormat="1" ht="25.9" customHeight="1" x14ac:dyDescent="0.2">
      <c r="A13" s="17">
        <v>11</v>
      </c>
      <c r="B13" s="22">
        <v>9</v>
      </c>
      <c r="C13" s="18" t="s">
        <v>90</v>
      </c>
      <c r="D13" s="19">
        <v>2739.17</v>
      </c>
      <c r="E13" s="19">
        <v>2266.71</v>
      </c>
      <c r="F13" s="20">
        <f>(D13-E13)/E13</f>
        <v>0.20843425052168121</v>
      </c>
      <c r="G13" s="21">
        <v>565</v>
      </c>
      <c r="H13" s="21">
        <v>36</v>
      </c>
      <c r="I13" s="21">
        <f>G13/H13</f>
        <v>15.694444444444445</v>
      </c>
      <c r="J13" s="22">
        <v>5</v>
      </c>
      <c r="K13" s="22">
        <v>5</v>
      </c>
      <c r="L13" s="19">
        <v>35277.089999999997</v>
      </c>
      <c r="M13" s="21">
        <v>7067</v>
      </c>
      <c r="N13" s="23">
        <v>45044</v>
      </c>
      <c r="O13" s="30" t="s">
        <v>16</v>
      </c>
      <c r="R13" s="17"/>
    </row>
    <row r="14" spans="1:18" s="24" customFormat="1" ht="25.9" customHeight="1" x14ac:dyDescent="0.2">
      <c r="A14" s="17">
        <v>12</v>
      </c>
      <c r="B14" s="22">
        <v>6</v>
      </c>
      <c r="C14" s="25" t="s">
        <v>112</v>
      </c>
      <c r="D14" s="19">
        <v>1950.76</v>
      </c>
      <c r="E14" s="19">
        <v>6071.46</v>
      </c>
      <c r="F14" s="20">
        <f>(D14-E14)/E14</f>
        <v>-0.67870001614109288</v>
      </c>
      <c r="G14" s="21">
        <v>294</v>
      </c>
      <c r="H14" s="21">
        <v>25</v>
      </c>
      <c r="I14" s="21">
        <f>G14/H14</f>
        <v>11.76</v>
      </c>
      <c r="J14" s="22">
        <v>6</v>
      </c>
      <c r="K14" s="22">
        <v>3</v>
      </c>
      <c r="L14" s="19">
        <v>22982.47</v>
      </c>
      <c r="M14" s="21">
        <v>3567</v>
      </c>
      <c r="N14" s="23">
        <v>45058</v>
      </c>
      <c r="O14" s="36" t="s">
        <v>13</v>
      </c>
      <c r="R14" s="17"/>
    </row>
    <row r="15" spans="1:18" s="24" customFormat="1" ht="25.9" customHeight="1" x14ac:dyDescent="0.2">
      <c r="A15" s="17">
        <v>13</v>
      </c>
      <c r="B15" s="11">
        <v>11</v>
      </c>
      <c r="C15" s="13" t="s">
        <v>116</v>
      </c>
      <c r="D15" s="8">
        <v>1198.4899999999998</v>
      </c>
      <c r="E15" s="8">
        <v>2066.2499999999995</v>
      </c>
      <c r="F15" s="9">
        <f>(D15-E15)/E15</f>
        <v>-0.41996854204476708</v>
      </c>
      <c r="G15" s="10">
        <v>305</v>
      </c>
      <c r="H15" s="10">
        <v>8</v>
      </c>
      <c r="I15" s="10">
        <f>G15/H15</f>
        <v>38.125</v>
      </c>
      <c r="J15" s="11">
        <v>4</v>
      </c>
      <c r="K15" s="11">
        <v>4</v>
      </c>
      <c r="L15" s="8">
        <v>18904.3</v>
      </c>
      <c r="M15" s="10">
        <v>4219</v>
      </c>
      <c r="N15" s="12">
        <v>45051</v>
      </c>
      <c r="O15" s="31" t="s">
        <v>117</v>
      </c>
      <c r="R15" s="17"/>
    </row>
    <row r="16" spans="1:18" s="24" customFormat="1" ht="25.9" customHeight="1" x14ac:dyDescent="0.2">
      <c r="A16" s="17">
        <v>14</v>
      </c>
      <c r="B16" s="22">
        <v>13</v>
      </c>
      <c r="C16" s="25" t="s">
        <v>141</v>
      </c>
      <c r="D16" s="19">
        <v>1158.57</v>
      </c>
      <c r="E16" s="19">
        <v>906.3</v>
      </c>
      <c r="F16" s="20">
        <f>(D16-E16)/E16</f>
        <v>0.27835153922542205</v>
      </c>
      <c r="G16" s="21">
        <v>230</v>
      </c>
      <c r="H16" s="22" t="s">
        <v>18</v>
      </c>
      <c r="I16" s="22" t="s">
        <v>18</v>
      </c>
      <c r="J16" s="22">
        <v>2</v>
      </c>
      <c r="K16" s="22">
        <v>2</v>
      </c>
      <c r="L16" s="19">
        <v>2663.57</v>
      </c>
      <c r="M16" s="21">
        <v>488</v>
      </c>
      <c r="N16" s="23">
        <v>45065</v>
      </c>
      <c r="O16" s="36" t="s">
        <v>100</v>
      </c>
      <c r="R16" s="17"/>
    </row>
    <row r="17" spans="1:19" s="24" customFormat="1" ht="25.9" customHeight="1" x14ac:dyDescent="0.2">
      <c r="A17" s="17">
        <v>15</v>
      </c>
      <c r="B17" s="11" t="s">
        <v>31</v>
      </c>
      <c r="C17" s="13" t="s">
        <v>160</v>
      </c>
      <c r="D17" s="8">
        <v>1085.96</v>
      </c>
      <c r="E17" s="8" t="s">
        <v>18</v>
      </c>
      <c r="F17" s="9" t="s">
        <v>18</v>
      </c>
      <c r="G17" s="10">
        <v>248</v>
      </c>
      <c r="H17" s="10">
        <v>35</v>
      </c>
      <c r="I17" s="11">
        <f>G17/H17</f>
        <v>7.0857142857142854</v>
      </c>
      <c r="J17" s="11">
        <v>6</v>
      </c>
      <c r="K17" s="11">
        <v>1</v>
      </c>
      <c r="L17" s="8">
        <v>1085.96</v>
      </c>
      <c r="M17" s="10">
        <v>248</v>
      </c>
      <c r="N17" s="12">
        <v>45072</v>
      </c>
      <c r="O17" s="62" t="s">
        <v>117</v>
      </c>
      <c r="R17" s="17"/>
    </row>
    <row r="18" spans="1:19" s="24" customFormat="1" ht="25.9" customHeight="1" x14ac:dyDescent="0.2">
      <c r="A18" s="17">
        <v>16</v>
      </c>
      <c r="B18" s="22">
        <v>7</v>
      </c>
      <c r="C18" s="25" t="s">
        <v>142</v>
      </c>
      <c r="D18" s="19">
        <v>1034.8499999999999</v>
      </c>
      <c r="E18" s="19">
        <v>3534.1</v>
      </c>
      <c r="F18" s="20">
        <f>(D18-E18)/E18</f>
        <v>-0.70718146062646781</v>
      </c>
      <c r="G18" s="21">
        <v>183</v>
      </c>
      <c r="H18" s="21">
        <v>23</v>
      </c>
      <c r="I18" s="21">
        <f>G18/H18</f>
        <v>7.9565217391304346</v>
      </c>
      <c r="J18" s="22">
        <v>7</v>
      </c>
      <c r="K18" s="22">
        <v>2</v>
      </c>
      <c r="L18" s="19">
        <v>4568.95</v>
      </c>
      <c r="M18" s="21">
        <v>824</v>
      </c>
      <c r="N18" s="23">
        <v>45065</v>
      </c>
      <c r="O18" s="36" t="s">
        <v>40</v>
      </c>
      <c r="R18" s="17"/>
    </row>
    <row r="19" spans="1:19" s="27" customFormat="1" ht="25.9" customHeight="1" x14ac:dyDescent="0.15">
      <c r="A19" s="17">
        <v>17</v>
      </c>
      <c r="B19" s="11" t="s">
        <v>57</v>
      </c>
      <c r="C19" s="13" t="s">
        <v>146</v>
      </c>
      <c r="D19" s="8">
        <v>973.6</v>
      </c>
      <c r="E19" s="10" t="s">
        <v>18</v>
      </c>
      <c r="F19" s="10" t="s">
        <v>18</v>
      </c>
      <c r="G19" s="10">
        <v>130</v>
      </c>
      <c r="H19" s="10">
        <v>4</v>
      </c>
      <c r="I19" s="11">
        <f>G19/H19</f>
        <v>32.5</v>
      </c>
      <c r="J19" s="11">
        <v>3</v>
      </c>
      <c r="K19" s="11">
        <v>0</v>
      </c>
      <c r="L19" s="8">
        <v>973.6</v>
      </c>
      <c r="M19" s="10">
        <v>130</v>
      </c>
      <c r="N19" s="12" t="s">
        <v>59</v>
      </c>
      <c r="O19" s="31" t="s">
        <v>16</v>
      </c>
      <c r="R19" s="17"/>
      <c r="S19" s="24"/>
    </row>
    <row r="20" spans="1:19" s="27" customFormat="1" ht="25.9" customHeight="1" x14ac:dyDescent="0.15">
      <c r="A20" s="17">
        <v>18</v>
      </c>
      <c r="B20" s="11">
        <v>22</v>
      </c>
      <c r="C20" s="13" t="s">
        <v>36</v>
      </c>
      <c r="D20" s="8">
        <v>936</v>
      </c>
      <c r="E20" s="8">
        <v>327.3</v>
      </c>
      <c r="F20" s="9">
        <f t="shared" ref="F20:F26" si="1">(D20-E20)/E20</f>
        <v>1.8597616865261228</v>
      </c>
      <c r="G20" s="10">
        <v>129</v>
      </c>
      <c r="H20" s="10">
        <v>11</v>
      </c>
      <c r="I20" s="10" t="s">
        <v>18</v>
      </c>
      <c r="J20" s="11">
        <v>1</v>
      </c>
      <c r="K20" s="11">
        <v>13</v>
      </c>
      <c r="L20" s="8">
        <v>233535.43000000005</v>
      </c>
      <c r="M20" s="10">
        <v>36595</v>
      </c>
      <c r="N20" s="12">
        <v>44988</v>
      </c>
      <c r="O20" s="34" t="s">
        <v>39</v>
      </c>
    </row>
    <row r="21" spans="1:19" s="27" customFormat="1" ht="25.9" customHeight="1" x14ac:dyDescent="0.15">
      <c r="A21" s="17">
        <v>19</v>
      </c>
      <c r="B21" s="22">
        <v>14</v>
      </c>
      <c r="C21" s="18" t="s">
        <v>53</v>
      </c>
      <c r="D21" s="19">
        <v>833.97</v>
      </c>
      <c r="E21" s="19">
        <v>1282.04</v>
      </c>
      <c r="F21" s="20">
        <f t="shared" si="1"/>
        <v>-0.34949767557954509</v>
      </c>
      <c r="G21" s="21">
        <v>151</v>
      </c>
      <c r="H21" s="21">
        <v>5</v>
      </c>
      <c r="I21" s="21">
        <f>G21/H21</f>
        <v>30.2</v>
      </c>
      <c r="J21" s="22">
        <v>1</v>
      </c>
      <c r="K21" s="22">
        <v>6</v>
      </c>
      <c r="L21" s="19">
        <v>73720.929999999993</v>
      </c>
      <c r="M21" s="21">
        <v>10571</v>
      </c>
      <c r="N21" s="23">
        <v>45037</v>
      </c>
      <c r="O21" s="30" t="s">
        <v>14</v>
      </c>
    </row>
    <row r="22" spans="1:19" ht="25.9" customHeight="1" x14ac:dyDescent="0.15">
      <c r="A22" s="17">
        <v>20</v>
      </c>
      <c r="B22" s="22">
        <v>12</v>
      </c>
      <c r="C22" s="25" t="s">
        <v>126</v>
      </c>
      <c r="D22" s="19">
        <v>752</v>
      </c>
      <c r="E22" s="19">
        <v>1872</v>
      </c>
      <c r="F22" s="20">
        <f t="shared" si="1"/>
        <v>-0.59829059829059827</v>
      </c>
      <c r="G22" s="21">
        <v>119</v>
      </c>
      <c r="H22" s="22" t="s">
        <v>18</v>
      </c>
      <c r="I22" s="22" t="s">
        <v>18</v>
      </c>
      <c r="J22" s="22">
        <v>4</v>
      </c>
      <c r="K22" s="22">
        <v>3</v>
      </c>
      <c r="L22" s="19">
        <v>8668</v>
      </c>
      <c r="M22" s="21">
        <v>1448</v>
      </c>
      <c r="N22" s="23">
        <v>45058</v>
      </c>
      <c r="O22" s="36" t="s">
        <v>15</v>
      </c>
    </row>
    <row r="23" spans="1:19" s="27" customFormat="1" ht="25.9" customHeight="1" x14ac:dyDescent="0.15">
      <c r="A23" s="17">
        <v>21</v>
      </c>
      <c r="B23" s="22">
        <v>28</v>
      </c>
      <c r="C23" s="18" t="s">
        <v>67</v>
      </c>
      <c r="D23" s="19">
        <v>584.70000000000005</v>
      </c>
      <c r="E23" s="19">
        <v>134.19999999999999</v>
      </c>
      <c r="F23" s="20">
        <f t="shared" si="1"/>
        <v>3.3569299552906116</v>
      </c>
      <c r="G23" s="21">
        <v>100</v>
      </c>
      <c r="H23" s="21">
        <v>5</v>
      </c>
      <c r="I23" s="22">
        <f>G23/H23</f>
        <v>20</v>
      </c>
      <c r="J23" s="22">
        <v>4</v>
      </c>
      <c r="K23" s="22">
        <v>10</v>
      </c>
      <c r="L23" s="19">
        <v>55456</v>
      </c>
      <c r="M23" s="21">
        <v>7350</v>
      </c>
      <c r="N23" s="23">
        <v>45012</v>
      </c>
      <c r="O23" s="30" t="s">
        <v>68</v>
      </c>
    </row>
    <row r="24" spans="1:19" s="27" customFormat="1" ht="25.9" customHeight="1" x14ac:dyDescent="0.15">
      <c r="A24" s="17">
        <v>22</v>
      </c>
      <c r="B24" s="22">
        <v>8</v>
      </c>
      <c r="C24" s="25" t="s">
        <v>111</v>
      </c>
      <c r="D24" s="19">
        <v>427.39</v>
      </c>
      <c r="E24" s="19">
        <v>3196.45</v>
      </c>
      <c r="F24" s="20">
        <f t="shared" si="1"/>
        <v>-0.86629229301256083</v>
      </c>
      <c r="G24" s="21">
        <v>65</v>
      </c>
      <c r="H24" s="21">
        <v>11</v>
      </c>
      <c r="I24" s="22" t="s">
        <v>18</v>
      </c>
      <c r="J24" s="22">
        <v>5</v>
      </c>
      <c r="K24" s="22">
        <v>3</v>
      </c>
      <c r="L24" s="19">
        <v>21604.17</v>
      </c>
      <c r="M24" s="21">
        <v>3184</v>
      </c>
      <c r="N24" s="23">
        <v>45058</v>
      </c>
      <c r="O24" s="36" t="s">
        <v>12</v>
      </c>
    </row>
    <row r="25" spans="1:19" s="27" customFormat="1" ht="25.9" customHeight="1" x14ac:dyDescent="0.15">
      <c r="A25" s="17">
        <v>23</v>
      </c>
      <c r="B25" s="22">
        <v>27</v>
      </c>
      <c r="C25" s="18" t="s">
        <v>58</v>
      </c>
      <c r="D25" s="19">
        <v>415.6</v>
      </c>
      <c r="E25" s="19">
        <v>137.5</v>
      </c>
      <c r="F25" s="20">
        <f t="shared" si="1"/>
        <v>2.0225454545454546</v>
      </c>
      <c r="G25" s="21">
        <v>68</v>
      </c>
      <c r="H25" s="21">
        <v>44</v>
      </c>
      <c r="I25" s="22">
        <f t="shared" ref="I25:I30" si="2">G25/H25</f>
        <v>1.5454545454545454</v>
      </c>
      <c r="J25" s="22">
        <v>3</v>
      </c>
      <c r="K25" s="22">
        <v>5</v>
      </c>
      <c r="L25" s="19">
        <v>10239.070000000002</v>
      </c>
      <c r="M25" s="21">
        <v>1683</v>
      </c>
      <c r="N25" s="23">
        <v>45044</v>
      </c>
      <c r="O25" s="30" t="s">
        <v>16</v>
      </c>
    </row>
    <row r="26" spans="1:19" s="27" customFormat="1" ht="25.9" customHeight="1" x14ac:dyDescent="0.15">
      <c r="A26" s="17">
        <v>24</v>
      </c>
      <c r="B26" s="22">
        <v>15</v>
      </c>
      <c r="C26" s="18" t="s">
        <v>19</v>
      </c>
      <c r="D26" s="19">
        <v>379.2</v>
      </c>
      <c r="E26" s="19">
        <v>1201.2</v>
      </c>
      <c r="F26" s="20">
        <f t="shared" si="1"/>
        <v>-0.68431568431568424</v>
      </c>
      <c r="G26" s="21">
        <v>52</v>
      </c>
      <c r="H26" s="21">
        <v>2</v>
      </c>
      <c r="I26" s="21">
        <f t="shared" si="2"/>
        <v>26</v>
      </c>
      <c r="J26" s="22">
        <v>1</v>
      </c>
      <c r="K26" s="22">
        <v>8</v>
      </c>
      <c r="L26" s="19">
        <v>136441.45000000001</v>
      </c>
      <c r="M26" s="21">
        <v>19699</v>
      </c>
      <c r="N26" s="23">
        <v>45023</v>
      </c>
      <c r="O26" s="30" t="s">
        <v>12</v>
      </c>
    </row>
    <row r="27" spans="1:19" s="27" customFormat="1" ht="25.9" customHeight="1" x14ac:dyDescent="0.15">
      <c r="A27" s="17">
        <v>25</v>
      </c>
      <c r="B27" s="19" t="s">
        <v>18</v>
      </c>
      <c r="C27" s="25" t="s">
        <v>159</v>
      </c>
      <c r="D27" s="19">
        <v>326.39</v>
      </c>
      <c r="E27" s="19" t="s">
        <v>18</v>
      </c>
      <c r="F27" s="20" t="s">
        <v>18</v>
      </c>
      <c r="G27" s="21">
        <v>84</v>
      </c>
      <c r="H27" s="21">
        <v>4</v>
      </c>
      <c r="I27" s="22">
        <f t="shared" si="2"/>
        <v>21</v>
      </c>
      <c r="J27" s="22">
        <v>2</v>
      </c>
      <c r="K27" s="22" t="s">
        <v>18</v>
      </c>
      <c r="L27" s="19">
        <v>1340807.81</v>
      </c>
      <c r="M27" s="21">
        <v>248957</v>
      </c>
      <c r="N27" s="23">
        <v>44743</v>
      </c>
      <c r="O27" s="30" t="s">
        <v>61</v>
      </c>
    </row>
    <row r="28" spans="1:19" s="27" customFormat="1" ht="25.9" customHeight="1" x14ac:dyDescent="0.15">
      <c r="A28" s="17">
        <v>26</v>
      </c>
      <c r="B28" s="20" t="s">
        <v>18</v>
      </c>
      <c r="C28" s="25" t="s">
        <v>153</v>
      </c>
      <c r="D28" s="19">
        <v>322</v>
      </c>
      <c r="E28" s="19" t="s">
        <v>18</v>
      </c>
      <c r="F28" s="20" t="s">
        <v>18</v>
      </c>
      <c r="G28" s="21">
        <v>102</v>
      </c>
      <c r="H28" s="21">
        <v>2</v>
      </c>
      <c r="I28" s="22">
        <f t="shared" si="2"/>
        <v>51</v>
      </c>
      <c r="J28" s="22">
        <v>2</v>
      </c>
      <c r="K28" s="20" t="s">
        <v>18</v>
      </c>
      <c r="L28" s="19">
        <v>84678.18</v>
      </c>
      <c r="M28" s="21">
        <v>17153</v>
      </c>
      <c r="N28" s="23">
        <v>44855</v>
      </c>
      <c r="O28" s="35" t="s">
        <v>13</v>
      </c>
    </row>
    <row r="29" spans="1:19" s="27" customFormat="1" ht="25.9" customHeight="1" x14ac:dyDescent="0.15">
      <c r="A29" s="17">
        <v>27</v>
      </c>
      <c r="B29" s="22">
        <v>16</v>
      </c>
      <c r="C29" s="18" t="s">
        <v>136</v>
      </c>
      <c r="D29" s="19">
        <v>300.64999999999998</v>
      </c>
      <c r="E29" s="19">
        <v>902.03</v>
      </c>
      <c r="F29" s="20">
        <f>(D29-E29)/E29</f>
        <v>-0.66669622961542296</v>
      </c>
      <c r="G29" s="21">
        <v>74</v>
      </c>
      <c r="H29" s="21">
        <v>10</v>
      </c>
      <c r="I29" s="21">
        <f t="shared" si="2"/>
        <v>7.4</v>
      </c>
      <c r="J29" s="22">
        <v>7</v>
      </c>
      <c r="K29" s="22">
        <v>2</v>
      </c>
      <c r="L29" s="19">
        <v>1203</v>
      </c>
      <c r="M29" s="21">
        <v>290</v>
      </c>
      <c r="N29" s="23">
        <v>45065</v>
      </c>
      <c r="O29" s="30" t="s">
        <v>68</v>
      </c>
    </row>
    <row r="30" spans="1:19" s="27" customFormat="1" ht="25.9" customHeight="1" x14ac:dyDescent="0.15">
      <c r="A30" s="17">
        <v>28</v>
      </c>
      <c r="B30" s="22">
        <v>21</v>
      </c>
      <c r="C30" s="25" t="s">
        <v>79</v>
      </c>
      <c r="D30" s="19">
        <v>298.89999999999998</v>
      </c>
      <c r="E30" s="19">
        <v>378.2</v>
      </c>
      <c r="F30" s="20">
        <f>(D30-E30)/E30</f>
        <v>-0.20967741935483875</v>
      </c>
      <c r="G30" s="21">
        <v>71</v>
      </c>
      <c r="H30" s="21">
        <v>4</v>
      </c>
      <c r="I30" s="22">
        <f t="shared" si="2"/>
        <v>17.75</v>
      </c>
      <c r="J30" s="22">
        <v>2</v>
      </c>
      <c r="K30" s="22">
        <v>10</v>
      </c>
      <c r="L30" s="19">
        <v>45573</v>
      </c>
      <c r="M30" s="21">
        <v>5347</v>
      </c>
      <c r="N30" s="23">
        <v>45012</v>
      </c>
      <c r="O30" s="36" t="s">
        <v>68</v>
      </c>
    </row>
    <row r="31" spans="1:19" s="27" customFormat="1" ht="25.9" customHeight="1" x14ac:dyDescent="0.15">
      <c r="A31" s="17">
        <v>29</v>
      </c>
      <c r="B31" s="11"/>
      <c r="C31" s="13" t="s">
        <v>157</v>
      </c>
      <c r="D31" s="8">
        <v>290</v>
      </c>
      <c r="E31" s="8" t="s">
        <v>18</v>
      </c>
      <c r="F31" s="20" t="s">
        <v>18</v>
      </c>
      <c r="G31" s="10">
        <v>58</v>
      </c>
      <c r="H31" s="10">
        <v>1</v>
      </c>
      <c r="I31" s="11">
        <v>58</v>
      </c>
      <c r="J31" s="11">
        <v>1</v>
      </c>
      <c r="K31" s="11" t="s">
        <v>18</v>
      </c>
      <c r="L31" s="19">
        <v>2184</v>
      </c>
      <c r="M31" s="21">
        <v>539</v>
      </c>
      <c r="N31" s="12">
        <v>44316</v>
      </c>
      <c r="O31" s="62" t="s">
        <v>68</v>
      </c>
    </row>
    <row r="32" spans="1:19" s="27" customFormat="1" ht="25.9" customHeight="1" x14ac:dyDescent="0.15">
      <c r="A32" s="17">
        <v>30</v>
      </c>
      <c r="B32" s="20" t="s">
        <v>18</v>
      </c>
      <c r="C32" s="13" t="s">
        <v>154</v>
      </c>
      <c r="D32" s="8">
        <v>266.5</v>
      </c>
      <c r="E32" s="19" t="s">
        <v>18</v>
      </c>
      <c r="F32" s="20" t="s">
        <v>18</v>
      </c>
      <c r="G32" s="10">
        <v>92</v>
      </c>
      <c r="H32" s="10">
        <v>3</v>
      </c>
      <c r="I32" s="11">
        <f t="shared" ref="I32:I45" si="3">G32/H32</f>
        <v>30.666666666666668</v>
      </c>
      <c r="J32" s="11">
        <v>1</v>
      </c>
      <c r="K32" s="20" t="s">
        <v>18</v>
      </c>
      <c r="L32" s="19">
        <v>186319.48</v>
      </c>
      <c r="M32" s="21">
        <v>46401</v>
      </c>
      <c r="N32" s="12">
        <v>44659</v>
      </c>
      <c r="O32" s="35" t="s">
        <v>13</v>
      </c>
    </row>
    <row r="33" spans="1:15" s="27" customFormat="1" ht="25.9" customHeight="1" x14ac:dyDescent="0.15">
      <c r="A33" s="17">
        <v>31</v>
      </c>
      <c r="B33" s="22">
        <v>32</v>
      </c>
      <c r="C33" s="25" t="s">
        <v>23</v>
      </c>
      <c r="D33" s="19">
        <v>223.8</v>
      </c>
      <c r="E33" s="19">
        <v>64.5</v>
      </c>
      <c r="F33" s="20">
        <f t="shared" ref="F33:F38" si="4">(D33-E33)/E33</f>
        <v>2.4697674418604652</v>
      </c>
      <c r="G33" s="21">
        <v>39</v>
      </c>
      <c r="H33" s="21">
        <v>2</v>
      </c>
      <c r="I33" s="22">
        <f t="shared" si="3"/>
        <v>19.5</v>
      </c>
      <c r="J33" s="22">
        <v>2</v>
      </c>
      <c r="K33" s="22">
        <v>7</v>
      </c>
      <c r="L33" s="19">
        <v>35477.99</v>
      </c>
      <c r="M33" s="21">
        <v>5565</v>
      </c>
      <c r="N33" s="23">
        <v>45030</v>
      </c>
      <c r="O33" s="36" t="s">
        <v>12</v>
      </c>
    </row>
    <row r="34" spans="1:15" s="27" customFormat="1" ht="25.9" customHeight="1" x14ac:dyDescent="0.15">
      <c r="A34" s="17">
        <v>32</v>
      </c>
      <c r="B34" s="22">
        <v>34</v>
      </c>
      <c r="C34" s="25" t="s">
        <v>80</v>
      </c>
      <c r="D34" s="19">
        <v>186.6</v>
      </c>
      <c r="E34" s="19">
        <v>61.1</v>
      </c>
      <c r="F34" s="20">
        <f t="shared" si="4"/>
        <v>2.0540098199672667</v>
      </c>
      <c r="G34" s="21">
        <v>35</v>
      </c>
      <c r="H34" s="21">
        <v>2</v>
      </c>
      <c r="I34" s="22">
        <f t="shared" si="3"/>
        <v>17.5</v>
      </c>
      <c r="J34" s="22">
        <v>2</v>
      </c>
      <c r="K34" s="22">
        <v>10</v>
      </c>
      <c r="L34" s="19">
        <v>9644</v>
      </c>
      <c r="M34" s="21">
        <v>1753</v>
      </c>
      <c r="N34" s="23">
        <v>45012</v>
      </c>
      <c r="O34" s="36" t="s">
        <v>68</v>
      </c>
    </row>
    <row r="35" spans="1:15" s="27" customFormat="1" ht="25.9" customHeight="1" x14ac:dyDescent="0.15">
      <c r="A35" s="17">
        <v>33</v>
      </c>
      <c r="B35" s="22">
        <v>31</v>
      </c>
      <c r="C35" s="18" t="s">
        <v>102</v>
      </c>
      <c r="D35" s="19">
        <v>153</v>
      </c>
      <c r="E35" s="19">
        <v>73.400000000000006</v>
      </c>
      <c r="F35" s="20">
        <f t="shared" si="4"/>
        <v>1.084468664850136</v>
      </c>
      <c r="G35" s="21">
        <v>25</v>
      </c>
      <c r="H35" s="21">
        <v>7</v>
      </c>
      <c r="I35" s="22">
        <f t="shared" si="3"/>
        <v>3.5714285714285716</v>
      </c>
      <c r="J35" s="22">
        <v>4</v>
      </c>
      <c r="K35" s="22">
        <v>4</v>
      </c>
      <c r="L35" s="19">
        <v>3382</v>
      </c>
      <c r="M35" s="21">
        <v>597</v>
      </c>
      <c r="N35" s="23">
        <v>45051</v>
      </c>
      <c r="O35" s="30" t="s">
        <v>68</v>
      </c>
    </row>
    <row r="36" spans="1:15" s="27" customFormat="1" ht="25.9" customHeight="1" x14ac:dyDescent="0.15">
      <c r="A36" s="17">
        <v>34</v>
      </c>
      <c r="B36" s="22">
        <v>19</v>
      </c>
      <c r="C36" s="25" t="s">
        <v>66</v>
      </c>
      <c r="D36" s="28">
        <v>123</v>
      </c>
      <c r="E36" s="28">
        <v>466.4</v>
      </c>
      <c r="F36" s="20">
        <f t="shared" si="4"/>
        <v>-0.73627787307032588</v>
      </c>
      <c r="G36" s="21">
        <v>24</v>
      </c>
      <c r="H36" s="21">
        <v>1</v>
      </c>
      <c r="I36" s="22">
        <f t="shared" si="3"/>
        <v>24</v>
      </c>
      <c r="J36" s="22">
        <v>1</v>
      </c>
      <c r="K36" s="22">
        <v>5</v>
      </c>
      <c r="L36" s="19">
        <v>15448.67</v>
      </c>
      <c r="M36" s="21">
        <v>2440</v>
      </c>
      <c r="N36" s="23">
        <v>45047</v>
      </c>
      <c r="O36" s="30" t="s">
        <v>61</v>
      </c>
    </row>
    <row r="37" spans="1:15" s="27" customFormat="1" ht="25.9" customHeight="1" x14ac:dyDescent="0.15">
      <c r="A37" s="17">
        <v>35</v>
      </c>
      <c r="B37" s="22">
        <v>36</v>
      </c>
      <c r="C37" s="18" t="s">
        <v>106</v>
      </c>
      <c r="D37" s="19">
        <v>102.7</v>
      </c>
      <c r="E37" s="19">
        <v>33.299999999999997</v>
      </c>
      <c r="F37" s="20">
        <f t="shared" si="4"/>
        <v>2.0840840840840844</v>
      </c>
      <c r="G37" s="21">
        <v>14</v>
      </c>
      <c r="H37" s="21">
        <v>1</v>
      </c>
      <c r="I37" s="22">
        <f t="shared" si="3"/>
        <v>14</v>
      </c>
      <c r="J37" s="22">
        <v>1</v>
      </c>
      <c r="K37" s="20" t="s">
        <v>18</v>
      </c>
      <c r="L37" s="19">
        <v>40148.780000000006</v>
      </c>
      <c r="M37" s="21">
        <v>6811</v>
      </c>
      <c r="N37" s="23">
        <v>44678</v>
      </c>
      <c r="O37" s="30" t="s">
        <v>16</v>
      </c>
    </row>
    <row r="38" spans="1:15" s="27" customFormat="1" ht="25.9" customHeight="1" x14ac:dyDescent="0.15">
      <c r="A38" s="17">
        <v>36</v>
      </c>
      <c r="B38" s="22">
        <v>30</v>
      </c>
      <c r="C38" s="25" t="s">
        <v>43</v>
      </c>
      <c r="D38" s="19">
        <v>101.7</v>
      </c>
      <c r="E38" s="19">
        <v>73.8</v>
      </c>
      <c r="F38" s="20">
        <f t="shared" si="4"/>
        <v>0.37804878048780499</v>
      </c>
      <c r="G38" s="21">
        <v>16</v>
      </c>
      <c r="H38" s="21">
        <v>2</v>
      </c>
      <c r="I38" s="22">
        <f t="shared" si="3"/>
        <v>8</v>
      </c>
      <c r="J38" s="22">
        <v>1</v>
      </c>
      <c r="K38" s="22">
        <v>14</v>
      </c>
      <c r="L38" s="19">
        <v>129706.38</v>
      </c>
      <c r="M38" s="21">
        <v>20349</v>
      </c>
      <c r="N38" s="23">
        <v>44981</v>
      </c>
      <c r="O38" s="36" t="s">
        <v>17</v>
      </c>
    </row>
    <row r="39" spans="1:15" s="45" customFormat="1" ht="25.9" customHeight="1" x14ac:dyDescent="0.2">
      <c r="A39" s="17">
        <v>37</v>
      </c>
      <c r="B39" s="20" t="s">
        <v>18</v>
      </c>
      <c r="C39" s="13" t="s">
        <v>155</v>
      </c>
      <c r="D39" s="8">
        <v>99.99</v>
      </c>
      <c r="E39" s="19" t="s">
        <v>18</v>
      </c>
      <c r="F39" s="20" t="s">
        <v>18</v>
      </c>
      <c r="G39" s="10">
        <v>29</v>
      </c>
      <c r="H39" s="10">
        <v>1</v>
      </c>
      <c r="I39" s="11">
        <f t="shared" si="3"/>
        <v>29</v>
      </c>
      <c r="J39" s="11">
        <v>1</v>
      </c>
      <c r="K39" s="20" t="s">
        <v>18</v>
      </c>
      <c r="L39" s="19">
        <v>184343.04000000001</v>
      </c>
      <c r="M39" s="21">
        <v>36266</v>
      </c>
      <c r="N39" s="12">
        <v>44869</v>
      </c>
      <c r="O39" s="36" t="s">
        <v>12</v>
      </c>
    </row>
    <row r="40" spans="1:15" s="45" customFormat="1" ht="25.9" customHeight="1" x14ac:dyDescent="0.2">
      <c r="A40" s="17">
        <v>38</v>
      </c>
      <c r="B40" s="19" t="s">
        <v>18</v>
      </c>
      <c r="C40" s="25" t="s">
        <v>149</v>
      </c>
      <c r="D40" s="19">
        <v>97.7</v>
      </c>
      <c r="E40" s="19" t="s">
        <v>18</v>
      </c>
      <c r="F40" s="20" t="s">
        <v>18</v>
      </c>
      <c r="G40" s="21">
        <v>15</v>
      </c>
      <c r="H40" s="21">
        <v>1</v>
      </c>
      <c r="I40" s="22">
        <f t="shared" si="3"/>
        <v>15</v>
      </c>
      <c r="J40" s="22">
        <v>1</v>
      </c>
      <c r="K40" s="22" t="s">
        <v>18</v>
      </c>
      <c r="L40" s="19">
        <v>21503.09</v>
      </c>
      <c r="M40" s="21">
        <v>3440</v>
      </c>
      <c r="N40" s="23">
        <v>44939</v>
      </c>
      <c r="O40" s="35" t="s">
        <v>30</v>
      </c>
    </row>
    <row r="41" spans="1:15" s="61" customFormat="1" ht="25.9" customHeight="1" x14ac:dyDescent="0.2">
      <c r="A41" s="17">
        <v>39</v>
      </c>
      <c r="B41" s="19" t="s">
        <v>18</v>
      </c>
      <c r="C41" s="25" t="s">
        <v>133</v>
      </c>
      <c r="D41" s="19">
        <v>73.5</v>
      </c>
      <c r="E41" s="19" t="s">
        <v>18</v>
      </c>
      <c r="F41" s="20" t="s">
        <v>18</v>
      </c>
      <c r="G41" s="21">
        <v>23</v>
      </c>
      <c r="H41" s="21">
        <v>1</v>
      </c>
      <c r="I41" s="22">
        <f t="shared" si="3"/>
        <v>23</v>
      </c>
      <c r="J41" s="22">
        <v>1</v>
      </c>
      <c r="K41" s="22" t="s">
        <v>18</v>
      </c>
      <c r="L41" s="19">
        <v>234799</v>
      </c>
      <c r="M41" s="21">
        <v>50738</v>
      </c>
      <c r="N41" s="23">
        <v>44400</v>
      </c>
      <c r="O41" s="30" t="s">
        <v>40</v>
      </c>
    </row>
    <row r="42" spans="1:15" s="61" customFormat="1" ht="25.9" customHeight="1" x14ac:dyDescent="0.2">
      <c r="A42" s="17">
        <v>40</v>
      </c>
      <c r="B42" s="22">
        <v>24</v>
      </c>
      <c r="C42" s="18" t="s">
        <v>37</v>
      </c>
      <c r="D42" s="19">
        <v>68.900000000000006</v>
      </c>
      <c r="E42" s="19">
        <v>247</v>
      </c>
      <c r="F42" s="20">
        <f>(D42-E42)/E42</f>
        <v>-0.72105263157894739</v>
      </c>
      <c r="G42" s="21">
        <v>21</v>
      </c>
      <c r="H42" s="21">
        <v>2</v>
      </c>
      <c r="I42" s="22">
        <f t="shared" si="3"/>
        <v>10.5</v>
      </c>
      <c r="J42" s="22">
        <v>2</v>
      </c>
      <c r="K42" s="22">
        <v>15</v>
      </c>
      <c r="L42" s="19">
        <v>276566.73</v>
      </c>
      <c r="M42" s="21">
        <v>46440</v>
      </c>
      <c r="N42" s="23">
        <v>44973</v>
      </c>
      <c r="O42" s="30" t="s">
        <v>13</v>
      </c>
    </row>
    <row r="43" spans="1:15" s="61" customFormat="1" ht="25.9" customHeight="1" x14ac:dyDescent="0.2">
      <c r="A43" s="17">
        <v>41</v>
      </c>
      <c r="B43" s="19" t="s">
        <v>18</v>
      </c>
      <c r="C43" s="25" t="s">
        <v>148</v>
      </c>
      <c r="D43" s="19">
        <v>65</v>
      </c>
      <c r="E43" s="19" t="s">
        <v>18</v>
      </c>
      <c r="F43" s="20" t="s">
        <v>18</v>
      </c>
      <c r="G43" s="21">
        <v>13</v>
      </c>
      <c r="H43" s="21">
        <v>1</v>
      </c>
      <c r="I43" s="22">
        <f t="shared" si="3"/>
        <v>13</v>
      </c>
      <c r="J43" s="22">
        <v>1</v>
      </c>
      <c r="K43" s="22" t="s">
        <v>18</v>
      </c>
      <c r="L43" s="19">
        <v>12268.21</v>
      </c>
      <c r="M43" s="21">
        <v>2500</v>
      </c>
      <c r="N43" s="23">
        <v>44673</v>
      </c>
      <c r="O43" s="35" t="s">
        <v>30</v>
      </c>
    </row>
    <row r="44" spans="1:15" s="61" customFormat="1" ht="25.9" customHeight="1" x14ac:dyDescent="0.2">
      <c r="A44" s="17">
        <v>42</v>
      </c>
      <c r="B44" s="19" t="s">
        <v>18</v>
      </c>
      <c r="C44" s="13" t="s">
        <v>35</v>
      </c>
      <c r="D44" s="8">
        <v>63</v>
      </c>
      <c r="E44" s="8" t="s">
        <v>18</v>
      </c>
      <c r="F44" s="20" t="s">
        <v>18</v>
      </c>
      <c r="G44" s="10">
        <v>12</v>
      </c>
      <c r="H44" s="10">
        <v>1</v>
      </c>
      <c r="I44" s="11">
        <f t="shared" si="3"/>
        <v>12</v>
      </c>
      <c r="J44" s="11">
        <v>1</v>
      </c>
      <c r="K44" s="11" t="s">
        <v>18</v>
      </c>
      <c r="L44" s="19">
        <v>1462.25</v>
      </c>
      <c r="M44" s="21">
        <v>313</v>
      </c>
      <c r="N44" s="12">
        <v>45030</v>
      </c>
      <c r="O44" s="62" t="s">
        <v>30</v>
      </c>
    </row>
    <row r="45" spans="1:15" s="61" customFormat="1" ht="25.9" customHeight="1" x14ac:dyDescent="0.2">
      <c r="A45" s="17">
        <v>43</v>
      </c>
      <c r="B45" s="8" t="s">
        <v>18</v>
      </c>
      <c r="C45" s="13" t="s">
        <v>161</v>
      </c>
      <c r="D45" s="8">
        <v>55.4</v>
      </c>
      <c r="E45" s="8" t="s">
        <v>18</v>
      </c>
      <c r="F45" s="9" t="s">
        <v>18</v>
      </c>
      <c r="G45" s="10">
        <v>10</v>
      </c>
      <c r="H45" s="10">
        <v>2</v>
      </c>
      <c r="I45" s="11">
        <f t="shared" si="3"/>
        <v>5</v>
      </c>
      <c r="J45" s="11">
        <v>1</v>
      </c>
      <c r="K45" s="22" t="s">
        <v>18</v>
      </c>
      <c r="L45" s="8">
        <v>1005170.8900000001</v>
      </c>
      <c r="M45" s="10">
        <v>144283</v>
      </c>
      <c r="N45" s="12">
        <v>44848</v>
      </c>
      <c r="O45" s="62" t="s">
        <v>162</v>
      </c>
    </row>
    <row r="46" spans="1:15" s="61" customFormat="1" ht="25.9" customHeight="1" x14ac:dyDescent="0.2">
      <c r="A46" s="17">
        <v>44</v>
      </c>
      <c r="B46" s="19" t="s">
        <v>18</v>
      </c>
      <c r="C46" s="13" t="s">
        <v>150</v>
      </c>
      <c r="D46" s="8">
        <v>50.46</v>
      </c>
      <c r="E46" s="8" t="s">
        <v>18</v>
      </c>
      <c r="F46" s="20" t="s">
        <v>18</v>
      </c>
      <c r="G46" s="10">
        <v>11</v>
      </c>
      <c r="H46" s="10">
        <v>1</v>
      </c>
      <c r="I46" s="11">
        <v>11</v>
      </c>
      <c r="J46" s="11">
        <v>1</v>
      </c>
      <c r="K46" s="11" t="s">
        <v>18</v>
      </c>
      <c r="L46" s="19">
        <v>4315.5600000000004</v>
      </c>
      <c r="M46" s="21">
        <v>1072</v>
      </c>
      <c r="N46" s="12">
        <v>43112</v>
      </c>
      <c r="O46" s="62" t="s">
        <v>30</v>
      </c>
    </row>
    <row r="47" spans="1:15" s="61" customFormat="1" ht="25.9" customHeight="1" x14ac:dyDescent="0.2">
      <c r="A47" s="17">
        <v>45</v>
      </c>
      <c r="B47" s="20" t="s">
        <v>18</v>
      </c>
      <c r="C47" s="25" t="s">
        <v>29</v>
      </c>
      <c r="D47" s="19">
        <v>44.6</v>
      </c>
      <c r="E47" s="19" t="s">
        <v>18</v>
      </c>
      <c r="F47" s="20" t="s">
        <v>18</v>
      </c>
      <c r="G47" s="21">
        <v>6</v>
      </c>
      <c r="H47" s="21">
        <v>1</v>
      </c>
      <c r="I47" s="22">
        <f>G47/H47</f>
        <v>6</v>
      </c>
      <c r="J47" s="22">
        <v>1</v>
      </c>
      <c r="K47" s="20" t="s">
        <v>18</v>
      </c>
      <c r="L47" s="19">
        <v>11878.2</v>
      </c>
      <c r="M47" s="21">
        <v>2188</v>
      </c>
      <c r="N47" s="23">
        <v>45009</v>
      </c>
      <c r="O47" s="35" t="s">
        <v>12</v>
      </c>
    </row>
    <row r="48" spans="1:15" s="61" customFormat="1" ht="25.9" customHeight="1" x14ac:dyDescent="0.2">
      <c r="A48" s="17">
        <v>46</v>
      </c>
      <c r="B48" s="22">
        <v>33</v>
      </c>
      <c r="C48" s="18" t="s">
        <v>101</v>
      </c>
      <c r="D48" s="19">
        <v>35</v>
      </c>
      <c r="E48" s="19">
        <v>62</v>
      </c>
      <c r="F48" s="20">
        <f>(D48-E48)/E48</f>
        <v>-0.43548387096774194</v>
      </c>
      <c r="G48" s="21">
        <v>7</v>
      </c>
      <c r="H48" s="21">
        <v>2</v>
      </c>
      <c r="I48" s="22">
        <f>G48/H48</f>
        <v>3.5</v>
      </c>
      <c r="J48" s="22">
        <v>1</v>
      </c>
      <c r="K48" s="21" t="s">
        <v>18</v>
      </c>
      <c r="L48" s="19">
        <v>761</v>
      </c>
      <c r="M48" s="21">
        <v>156</v>
      </c>
      <c r="N48" s="23">
        <v>45012</v>
      </c>
      <c r="O48" s="30" t="s">
        <v>68</v>
      </c>
    </row>
    <row r="49" spans="1:15" s="61" customFormat="1" ht="25.9" customHeight="1" x14ac:dyDescent="0.2">
      <c r="A49" s="17">
        <v>47</v>
      </c>
      <c r="B49" s="22">
        <v>39</v>
      </c>
      <c r="C49" s="25" t="s">
        <v>38</v>
      </c>
      <c r="D49" s="19">
        <v>22.2</v>
      </c>
      <c r="E49" s="19">
        <v>22.3</v>
      </c>
      <c r="F49" s="20">
        <f>(D49-E49)/E49</f>
        <v>-4.4843049327354893E-3</v>
      </c>
      <c r="G49" s="21">
        <v>3</v>
      </c>
      <c r="H49" s="21">
        <v>1</v>
      </c>
      <c r="I49" s="22">
        <f>G49/H49</f>
        <v>3</v>
      </c>
      <c r="J49" s="22">
        <v>1</v>
      </c>
      <c r="K49" s="22" t="s">
        <v>18</v>
      </c>
      <c r="L49" s="19">
        <v>35512.9</v>
      </c>
      <c r="M49" s="21">
        <v>5704</v>
      </c>
      <c r="N49" s="23">
        <v>44960</v>
      </c>
      <c r="O49" s="36" t="s">
        <v>40</v>
      </c>
    </row>
    <row r="50" spans="1:15" s="61" customFormat="1" ht="25.9" customHeight="1" x14ac:dyDescent="0.2">
      <c r="A50" s="17">
        <v>48</v>
      </c>
      <c r="B50" s="22">
        <v>38</v>
      </c>
      <c r="C50" s="18" t="s">
        <v>22</v>
      </c>
      <c r="D50" s="19">
        <v>21</v>
      </c>
      <c r="E50" s="19">
        <v>33</v>
      </c>
      <c r="F50" s="20">
        <f>(D50-E50)/E50</f>
        <v>-0.36363636363636365</v>
      </c>
      <c r="G50" s="21">
        <v>3</v>
      </c>
      <c r="H50" s="21" t="s">
        <v>18</v>
      </c>
      <c r="I50" s="21" t="s">
        <v>18</v>
      </c>
      <c r="J50" s="22">
        <v>1</v>
      </c>
      <c r="K50" s="22">
        <v>7</v>
      </c>
      <c r="L50" s="19">
        <v>52855</v>
      </c>
      <c r="M50" s="21">
        <v>7995</v>
      </c>
      <c r="N50" s="23">
        <v>45030</v>
      </c>
      <c r="O50" s="30" t="s">
        <v>15</v>
      </c>
    </row>
    <row r="51" spans="1:15" s="61" customFormat="1" ht="25.9" customHeight="1" x14ac:dyDescent="0.2">
      <c r="A51" s="17">
        <v>49</v>
      </c>
      <c r="B51" s="22">
        <v>26</v>
      </c>
      <c r="C51" s="25" t="s">
        <v>75</v>
      </c>
      <c r="D51" s="19">
        <v>18</v>
      </c>
      <c r="E51" s="19">
        <v>145.30000000000001</v>
      </c>
      <c r="F51" s="20">
        <f>(D51-E51)/E51</f>
        <v>-0.87611837577426022</v>
      </c>
      <c r="G51" s="21">
        <v>3</v>
      </c>
      <c r="H51" s="21">
        <v>1</v>
      </c>
      <c r="I51" s="22">
        <f t="shared" ref="I51:I56" si="5">G51/H51</f>
        <v>3</v>
      </c>
      <c r="J51" s="22">
        <v>1</v>
      </c>
      <c r="K51" s="22" t="s">
        <v>18</v>
      </c>
      <c r="L51" s="19">
        <v>9396</v>
      </c>
      <c r="M51" s="21">
        <v>1636</v>
      </c>
      <c r="N51" s="23">
        <v>45012</v>
      </c>
      <c r="O51" s="36" t="s">
        <v>68</v>
      </c>
    </row>
    <row r="52" spans="1:15" s="61" customFormat="1" ht="25.9" customHeight="1" x14ac:dyDescent="0.2">
      <c r="A52" s="17">
        <v>50</v>
      </c>
      <c r="B52" s="20" t="s">
        <v>18</v>
      </c>
      <c r="C52" s="13" t="s">
        <v>156</v>
      </c>
      <c r="D52" s="8">
        <v>15.96</v>
      </c>
      <c r="E52" s="19" t="s">
        <v>18</v>
      </c>
      <c r="F52" s="20" t="s">
        <v>18</v>
      </c>
      <c r="G52" s="10">
        <v>4</v>
      </c>
      <c r="H52" s="10">
        <v>1</v>
      </c>
      <c r="I52" s="11">
        <f t="shared" si="5"/>
        <v>4</v>
      </c>
      <c r="J52" s="11">
        <v>1</v>
      </c>
      <c r="K52" s="20" t="s">
        <v>18</v>
      </c>
      <c r="L52" s="19">
        <v>320825.06</v>
      </c>
      <c r="M52" s="21">
        <v>68356</v>
      </c>
      <c r="N52" s="12">
        <v>44771</v>
      </c>
      <c r="O52" s="35" t="s">
        <v>14</v>
      </c>
    </row>
    <row r="53" spans="1:15" s="61" customFormat="1" ht="25.9" customHeight="1" x14ac:dyDescent="0.2">
      <c r="A53" s="17">
        <v>51</v>
      </c>
      <c r="B53" s="22">
        <v>25</v>
      </c>
      <c r="C53" s="25" t="s">
        <v>94</v>
      </c>
      <c r="D53" s="19">
        <v>11</v>
      </c>
      <c r="E53" s="19">
        <v>214.7</v>
      </c>
      <c r="F53" s="20">
        <f>(D53-E53)/E53</f>
        <v>-0.94876571960875644</v>
      </c>
      <c r="G53" s="21">
        <v>2</v>
      </c>
      <c r="H53" s="21">
        <v>1</v>
      </c>
      <c r="I53" s="22">
        <f t="shared" si="5"/>
        <v>2</v>
      </c>
      <c r="J53" s="22">
        <v>1</v>
      </c>
      <c r="K53" s="22">
        <v>6</v>
      </c>
      <c r="L53" s="19">
        <v>2722</v>
      </c>
      <c r="M53" s="21">
        <v>492</v>
      </c>
      <c r="N53" s="23">
        <v>45043</v>
      </c>
      <c r="O53" s="36" t="s">
        <v>95</v>
      </c>
    </row>
    <row r="54" spans="1:15" s="61" customFormat="1" ht="25.9" customHeight="1" x14ac:dyDescent="0.2">
      <c r="A54" s="17">
        <v>52</v>
      </c>
      <c r="B54" s="22">
        <v>37</v>
      </c>
      <c r="C54" s="25" t="s">
        <v>21</v>
      </c>
      <c r="D54" s="19">
        <v>7.4</v>
      </c>
      <c r="E54" s="19">
        <v>33.200000000000003</v>
      </c>
      <c r="F54" s="20">
        <f>(D54-E54)/E54</f>
        <v>-0.77710843373493987</v>
      </c>
      <c r="G54" s="21">
        <v>1</v>
      </c>
      <c r="H54" s="21">
        <v>1</v>
      </c>
      <c r="I54" s="22">
        <f t="shared" si="5"/>
        <v>1</v>
      </c>
      <c r="J54" s="22">
        <v>1</v>
      </c>
      <c r="K54" s="22">
        <v>7</v>
      </c>
      <c r="L54" s="19">
        <v>52984.53</v>
      </c>
      <c r="M54" s="21">
        <v>8466</v>
      </c>
      <c r="N54" s="23">
        <v>45030</v>
      </c>
      <c r="O54" s="30" t="s">
        <v>14</v>
      </c>
    </row>
    <row r="55" spans="1:15" s="45" customFormat="1" ht="25.9" customHeight="1" x14ac:dyDescent="0.2">
      <c r="A55" s="17">
        <v>53</v>
      </c>
      <c r="B55" s="22">
        <v>41</v>
      </c>
      <c r="C55" s="25" t="s">
        <v>137</v>
      </c>
      <c r="D55" s="19">
        <v>7</v>
      </c>
      <c r="E55" s="19">
        <v>139.80000000000001</v>
      </c>
      <c r="F55" s="20">
        <f>(D55-E55)/E55</f>
        <v>-0.94992846924177399</v>
      </c>
      <c r="G55" s="21">
        <v>2</v>
      </c>
      <c r="H55" s="21">
        <v>1</v>
      </c>
      <c r="I55" s="22">
        <f t="shared" si="5"/>
        <v>2</v>
      </c>
      <c r="J55" s="22">
        <v>1</v>
      </c>
      <c r="K55" s="22">
        <v>3</v>
      </c>
      <c r="L55" s="19">
        <v>750.3</v>
      </c>
      <c r="M55" s="21">
        <v>145</v>
      </c>
      <c r="N55" s="23">
        <v>45059</v>
      </c>
      <c r="O55" s="36" t="s">
        <v>139</v>
      </c>
    </row>
    <row r="56" spans="1:15" s="45" customFormat="1" ht="25.9" customHeight="1" x14ac:dyDescent="0.2">
      <c r="A56" s="17">
        <v>54</v>
      </c>
      <c r="B56" s="22">
        <v>35</v>
      </c>
      <c r="C56" s="25" t="s">
        <v>110</v>
      </c>
      <c r="D56" s="19">
        <v>3.5</v>
      </c>
      <c r="E56" s="19">
        <v>60.5</v>
      </c>
      <c r="F56" s="20">
        <f>(D56-E56)/E56</f>
        <v>-0.94214876033057848</v>
      </c>
      <c r="G56" s="21">
        <v>1</v>
      </c>
      <c r="H56" s="21">
        <v>1</v>
      </c>
      <c r="I56" s="22">
        <f t="shared" si="5"/>
        <v>1</v>
      </c>
      <c r="J56" s="22">
        <v>1</v>
      </c>
      <c r="K56" s="22">
        <v>4</v>
      </c>
      <c r="L56" s="19">
        <v>904.35</v>
      </c>
      <c r="M56" s="21">
        <v>163</v>
      </c>
      <c r="N56" s="23">
        <v>45052</v>
      </c>
      <c r="O56" s="30" t="s">
        <v>30</v>
      </c>
    </row>
    <row r="57" spans="1:15" s="45" customFormat="1" ht="25.9" customHeight="1" x14ac:dyDescent="0.2">
      <c r="A57" s="46" t="s">
        <v>85</v>
      </c>
      <c r="B57" s="51" t="s">
        <v>85</v>
      </c>
      <c r="C57" s="46" t="s">
        <v>163</v>
      </c>
      <c r="D57" s="47">
        <f>SUBTOTAL(109,Table132458[Pajamos 
(GBO)])</f>
        <v>209375.99000000008</v>
      </c>
      <c r="E57" s="47" t="s">
        <v>164</v>
      </c>
      <c r="F57" s="42">
        <f>(D57-E57)/E57</f>
        <v>-9.6563224094409705E-2</v>
      </c>
      <c r="G57" s="43">
        <f>SUBTOTAL(109,Table132458[Žiūrovų sk. 
(ADM)])</f>
        <v>35105</v>
      </c>
      <c r="H57" s="55"/>
      <c r="I57" s="46"/>
      <c r="J57" s="51"/>
      <c r="K57" s="46"/>
      <c r="L57" s="53"/>
      <c r="M57" s="55"/>
      <c r="N57" s="60"/>
      <c r="O57" s="46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legacyDrawing r:id="rId2"/>
  <tableParts count="1">
    <tablePart r:id="rId3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DE021F-5AC2-418E-A8F0-C9EEC63712FB}">
  <sheetPr>
    <pageSetUpPr fitToPage="1"/>
  </sheetPr>
  <dimension ref="A1:XFC47"/>
  <sheetViews>
    <sheetView topLeftCell="A3" zoomScale="60" zoomScaleNormal="60" workbookViewId="0">
      <selection activeCell="C17" sqref="C17"/>
    </sheetView>
  </sheetViews>
  <sheetFormatPr defaultColWidth="0" defaultRowHeight="11.45" customHeight="1" zeroHeight="1" x14ac:dyDescent="0.15"/>
  <cols>
    <col min="1" max="1" width="4.7109375" style="1" customWidth="1"/>
    <col min="2" max="2" width="4.7109375" style="38" customWidth="1"/>
    <col min="3" max="3" width="30.7109375" style="1" customWidth="1"/>
    <col min="4" max="5" width="20.7109375" style="37" customWidth="1"/>
    <col min="6" max="6" width="20.7109375" style="58" customWidth="1"/>
    <col min="7" max="8" width="20.7109375" style="56" customWidth="1"/>
    <col min="9" max="9" width="20.7109375" style="1" customWidth="1"/>
    <col min="10" max="10" width="20.7109375" style="38" customWidth="1"/>
    <col min="11" max="11" width="20.7109375" style="1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135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1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4" t="s">
        <v>4</v>
      </c>
      <c r="I2" s="15" t="s">
        <v>28</v>
      </c>
      <c r="J2" s="50" t="s">
        <v>10</v>
      </c>
      <c r="K2" s="15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17">
        <v>1</v>
      </c>
      <c r="B3" s="22" t="s">
        <v>31</v>
      </c>
      <c r="C3" s="25" t="s">
        <v>132</v>
      </c>
      <c r="D3" s="19">
        <v>132821.12</v>
      </c>
      <c r="E3" s="19" t="s">
        <v>18</v>
      </c>
      <c r="F3" s="20" t="s">
        <v>18</v>
      </c>
      <c r="G3" s="21">
        <v>17697</v>
      </c>
      <c r="H3" s="21">
        <v>499</v>
      </c>
      <c r="I3" s="21">
        <f t="shared" ref="I3:I13" si="0">G3/H3</f>
        <v>35.46492985971944</v>
      </c>
      <c r="J3" s="22">
        <v>28</v>
      </c>
      <c r="K3" s="22">
        <v>1</v>
      </c>
      <c r="L3" s="19">
        <v>160842.07</v>
      </c>
      <c r="M3" s="21">
        <v>21368</v>
      </c>
      <c r="N3" s="23">
        <v>45065</v>
      </c>
      <c r="O3" s="36" t="s">
        <v>61</v>
      </c>
    </row>
    <row r="4" spans="1:18" s="24" customFormat="1" ht="25.9" customHeight="1" x14ac:dyDescent="0.2">
      <c r="A4" s="17">
        <v>2</v>
      </c>
      <c r="B4" s="22">
        <v>1</v>
      </c>
      <c r="C4" s="25" t="s">
        <v>97</v>
      </c>
      <c r="D4" s="19">
        <v>31431.22</v>
      </c>
      <c r="E4" s="19">
        <v>59772.94</v>
      </c>
      <c r="F4" s="20">
        <f>(D4-E4)/E4</f>
        <v>-0.47415636574008241</v>
      </c>
      <c r="G4" s="21">
        <v>4769</v>
      </c>
      <c r="H4" s="21">
        <v>197</v>
      </c>
      <c r="I4" s="21">
        <f t="shared" si="0"/>
        <v>24.208121827411169</v>
      </c>
      <c r="J4" s="22">
        <v>16</v>
      </c>
      <c r="K4" s="22">
        <v>3</v>
      </c>
      <c r="L4" s="19">
        <v>211248.92</v>
      </c>
      <c r="M4" s="21">
        <v>28710</v>
      </c>
      <c r="N4" s="23">
        <v>45051</v>
      </c>
      <c r="O4" s="30" t="s">
        <v>40</v>
      </c>
    </row>
    <row r="5" spans="1:18" s="24" customFormat="1" ht="25.9" customHeight="1" x14ac:dyDescent="0.2">
      <c r="A5" s="17">
        <v>3</v>
      </c>
      <c r="B5" s="22">
        <v>3</v>
      </c>
      <c r="C5" s="18" t="s">
        <v>11</v>
      </c>
      <c r="D5" s="19">
        <v>17437.36</v>
      </c>
      <c r="E5" s="19">
        <v>16967.87</v>
      </c>
      <c r="F5" s="20">
        <f>(D5-E5)/E5</f>
        <v>2.7669353902405054E-2</v>
      </c>
      <c r="G5" s="21">
        <v>3262</v>
      </c>
      <c r="H5" s="21">
        <v>178</v>
      </c>
      <c r="I5" s="21">
        <f t="shared" si="0"/>
        <v>18.325842696629213</v>
      </c>
      <c r="J5" s="22">
        <v>18</v>
      </c>
      <c r="K5" s="22">
        <v>7</v>
      </c>
      <c r="L5" s="19">
        <v>504665.18</v>
      </c>
      <c r="M5" s="21">
        <v>91226</v>
      </c>
      <c r="N5" s="23">
        <v>45023</v>
      </c>
      <c r="O5" s="30" t="s">
        <v>61</v>
      </c>
      <c r="R5" s="17"/>
    </row>
    <row r="6" spans="1:18" s="24" customFormat="1" ht="25.9" customHeight="1" x14ac:dyDescent="0.2">
      <c r="A6" s="17">
        <v>4</v>
      </c>
      <c r="B6" s="22">
        <v>4</v>
      </c>
      <c r="C6" s="18" t="s">
        <v>50</v>
      </c>
      <c r="D6" s="19">
        <v>10758.47</v>
      </c>
      <c r="E6" s="19">
        <v>14570.24</v>
      </c>
      <c r="F6" s="20">
        <f>(D6-E6)/E6</f>
        <v>-0.26161339826934904</v>
      </c>
      <c r="G6" s="21">
        <v>2118</v>
      </c>
      <c r="H6" s="21">
        <v>179</v>
      </c>
      <c r="I6" s="21">
        <f t="shared" si="0"/>
        <v>11.832402234636872</v>
      </c>
      <c r="J6" s="22">
        <v>11</v>
      </c>
      <c r="K6" s="22">
        <v>5</v>
      </c>
      <c r="L6" s="19">
        <v>224645.90000000002</v>
      </c>
      <c r="M6" s="21">
        <v>44527</v>
      </c>
      <c r="N6" s="23">
        <v>45037</v>
      </c>
      <c r="O6" s="30" t="s">
        <v>51</v>
      </c>
      <c r="R6" s="17"/>
    </row>
    <row r="7" spans="1:18" s="24" customFormat="1" ht="25.9" customHeight="1" x14ac:dyDescent="0.2">
      <c r="A7" s="17">
        <v>5</v>
      </c>
      <c r="B7" s="22">
        <v>7</v>
      </c>
      <c r="C7" s="25" t="s">
        <v>127</v>
      </c>
      <c r="D7" s="19">
        <v>8907.1</v>
      </c>
      <c r="E7" s="19">
        <v>9491.15</v>
      </c>
      <c r="F7" s="20">
        <f>(D7-E7)/E7</f>
        <v>-6.1536273265094248E-2</v>
      </c>
      <c r="G7" s="21">
        <v>1899</v>
      </c>
      <c r="H7" s="21">
        <v>179</v>
      </c>
      <c r="I7" s="21">
        <f t="shared" si="0"/>
        <v>10.608938547486034</v>
      </c>
      <c r="J7" s="22">
        <v>15</v>
      </c>
      <c r="K7" s="22">
        <v>2</v>
      </c>
      <c r="L7" s="19">
        <v>18398.25</v>
      </c>
      <c r="M7" s="21">
        <v>3886</v>
      </c>
      <c r="N7" s="23">
        <v>45058</v>
      </c>
      <c r="O7" s="36" t="s">
        <v>13</v>
      </c>
      <c r="R7" s="17"/>
    </row>
    <row r="8" spans="1:18" s="24" customFormat="1" ht="25.9" customHeight="1" x14ac:dyDescent="0.2">
      <c r="A8" s="17">
        <v>6</v>
      </c>
      <c r="B8" s="22">
        <v>5</v>
      </c>
      <c r="C8" s="25" t="s">
        <v>112</v>
      </c>
      <c r="D8" s="19">
        <v>6071.46</v>
      </c>
      <c r="E8" s="19">
        <v>14450.77</v>
      </c>
      <c r="F8" s="20">
        <f>(D8-E8)/E8</f>
        <v>-0.57985214628701454</v>
      </c>
      <c r="G8" s="21">
        <v>931</v>
      </c>
      <c r="H8" s="21">
        <v>94</v>
      </c>
      <c r="I8" s="21">
        <f t="shared" si="0"/>
        <v>9.9042553191489358</v>
      </c>
      <c r="J8" s="22">
        <v>11</v>
      </c>
      <c r="K8" s="22">
        <v>2</v>
      </c>
      <c r="L8" s="19">
        <v>21031.71</v>
      </c>
      <c r="M8" s="21">
        <v>3273</v>
      </c>
      <c r="N8" s="23">
        <v>45058</v>
      </c>
      <c r="O8" s="36" t="s">
        <v>13</v>
      </c>
      <c r="R8" s="17"/>
    </row>
    <row r="9" spans="1:18" s="24" customFormat="1" ht="25.9" customHeight="1" x14ac:dyDescent="0.2">
      <c r="A9" s="17">
        <v>7</v>
      </c>
      <c r="B9" s="22" t="s">
        <v>31</v>
      </c>
      <c r="C9" s="25" t="s">
        <v>142</v>
      </c>
      <c r="D9" s="19">
        <v>3534.1</v>
      </c>
      <c r="E9" s="19" t="s">
        <v>18</v>
      </c>
      <c r="F9" s="20" t="s">
        <v>18</v>
      </c>
      <c r="G9" s="21">
        <v>641</v>
      </c>
      <c r="H9" s="21">
        <v>80</v>
      </c>
      <c r="I9" s="21">
        <f t="shared" si="0"/>
        <v>8.0124999999999993</v>
      </c>
      <c r="J9" s="22">
        <v>14</v>
      </c>
      <c r="K9" s="22">
        <v>1</v>
      </c>
      <c r="L9" s="19">
        <v>3534.1</v>
      </c>
      <c r="M9" s="21">
        <v>641</v>
      </c>
      <c r="N9" s="23">
        <v>45065</v>
      </c>
      <c r="O9" s="30" t="s">
        <v>40</v>
      </c>
      <c r="R9" s="17"/>
    </row>
    <row r="10" spans="1:18" s="24" customFormat="1" ht="25.9" customHeight="1" x14ac:dyDescent="0.2">
      <c r="A10" s="17">
        <v>8</v>
      </c>
      <c r="B10" s="22">
        <v>6</v>
      </c>
      <c r="C10" s="25" t="s">
        <v>111</v>
      </c>
      <c r="D10" s="19">
        <v>3196.45</v>
      </c>
      <c r="E10" s="19">
        <v>10099.66</v>
      </c>
      <c r="F10" s="20">
        <f>(D10-E10)/E10</f>
        <v>-0.68350914783269934</v>
      </c>
      <c r="G10" s="21">
        <v>518</v>
      </c>
      <c r="H10" s="21">
        <v>68</v>
      </c>
      <c r="I10" s="21">
        <f t="shared" si="0"/>
        <v>7.617647058823529</v>
      </c>
      <c r="J10" s="22">
        <v>8</v>
      </c>
      <c r="K10" s="22">
        <v>2</v>
      </c>
      <c r="L10" s="19">
        <v>21098.33</v>
      </c>
      <c r="M10" s="21">
        <v>3106</v>
      </c>
      <c r="N10" s="23">
        <v>45058</v>
      </c>
      <c r="O10" s="36" t="s">
        <v>12</v>
      </c>
      <c r="R10" s="17"/>
    </row>
    <row r="11" spans="1:18" s="24" customFormat="1" ht="25.9" customHeight="1" x14ac:dyDescent="0.2">
      <c r="A11" s="17">
        <v>9</v>
      </c>
      <c r="B11" s="22">
        <v>12</v>
      </c>
      <c r="C11" s="25" t="s">
        <v>90</v>
      </c>
      <c r="D11" s="19">
        <v>2266.71</v>
      </c>
      <c r="E11" s="19">
        <v>3069.81</v>
      </c>
      <c r="F11" s="20">
        <f>(D11-E11)/E11</f>
        <v>-0.26161228219336047</v>
      </c>
      <c r="G11" s="21">
        <v>505</v>
      </c>
      <c r="H11" s="21">
        <v>36</v>
      </c>
      <c r="I11" s="21">
        <f t="shared" si="0"/>
        <v>14.027777777777779</v>
      </c>
      <c r="J11" s="22">
        <v>9</v>
      </c>
      <c r="K11" s="22">
        <v>4</v>
      </c>
      <c r="L11" s="19">
        <v>32537.919999999995</v>
      </c>
      <c r="M11" s="21">
        <v>6502</v>
      </c>
      <c r="N11" s="23">
        <v>45044</v>
      </c>
      <c r="O11" s="36" t="s">
        <v>16</v>
      </c>
      <c r="R11" s="17"/>
    </row>
    <row r="12" spans="1:18" s="24" customFormat="1" ht="25.9" customHeight="1" x14ac:dyDescent="0.2">
      <c r="A12" s="17">
        <v>10</v>
      </c>
      <c r="B12" s="22">
        <v>9</v>
      </c>
      <c r="C12" s="18" t="s">
        <v>60</v>
      </c>
      <c r="D12" s="19">
        <v>2090.2199999999998</v>
      </c>
      <c r="E12" s="19">
        <v>5075.72</v>
      </c>
      <c r="F12" s="20">
        <f>(D12-E12)/E12</f>
        <v>-0.58819241408115508</v>
      </c>
      <c r="G12" s="21">
        <v>339</v>
      </c>
      <c r="H12" s="21">
        <v>37</v>
      </c>
      <c r="I12" s="21">
        <f t="shared" si="0"/>
        <v>9.1621621621621614</v>
      </c>
      <c r="J12" s="22">
        <v>5</v>
      </c>
      <c r="K12" s="22">
        <v>4</v>
      </c>
      <c r="L12" s="19">
        <v>47912.22</v>
      </c>
      <c r="M12" s="21">
        <v>6681</v>
      </c>
      <c r="N12" s="23">
        <v>45044</v>
      </c>
      <c r="O12" s="30" t="s">
        <v>13</v>
      </c>
      <c r="R12" s="17"/>
    </row>
    <row r="13" spans="1:18" s="24" customFormat="1" ht="25.9" customHeight="1" x14ac:dyDescent="0.2">
      <c r="A13" s="17">
        <v>11</v>
      </c>
      <c r="B13" s="22">
        <v>11</v>
      </c>
      <c r="C13" s="25" t="s">
        <v>116</v>
      </c>
      <c r="D13" s="19">
        <v>2066.2499999999995</v>
      </c>
      <c r="E13" s="19">
        <v>3081.23</v>
      </c>
      <c r="F13" s="20">
        <f>(D13-E13)/E13</f>
        <v>-0.32940741197508805</v>
      </c>
      <c r="G13" s="21">
        <v>472</v>
      </c>
      <c r="H13" s="21">
        <v>33</v>
      </c>
      <c r="I13" s="21">
        <f t="shared" si="0"/>
        <v>14.303030303030303</v>
      </c>
      <c r="J13" s="22">
        <v>7</v>
      </c>
      <c r="K13" s="22">
        <v>3</v>
      </c>
      <c r="L13" s="19">
        <v>17705.809999999998</v>
      </c>
      <c r="M13" s="21">
        <v>3914</v>
      </c>
      <c r="N13" s="23">
        <v>45051</v>
      </c>
      <c r="O13" s="30" t="s">
        <v>117</v>
      </c>
      <c r="R13" s="17"/>
    </row>
    <row r="14" spans="1:18" s="24" customFormat="1" ht="25.9" customHeight="1" x14ac:dyDescent="0.2">
      <c r="A14" s="17">
        <v>12</v>
      </c>
      <c r="B14" s="22">
        <v>8</v>
      </c>
      <c r="C14" s="25" t="s">
        <v>126</v>
      </c>
      <c r="D14" s="19">
        <v>1872</v>
      </c>
      <c r="E14" s="19">
        <v>6044</v>
      </c>
      <c r="F14" s="20">
        <f>(D14-E14)/E14</f>
        <v>-0.69027134348113828</v>
      </c>
      <c r="G14" s="21">
        <v>322</v>
      </c>
      <c r="H14" s="22" t="s">
        <v>18</v>
      </c>
      <c r="I14" s="22" t="s">
        <v>18</v>
      </c>
      <c r="J14" s="22">
        <v>10</v>
      </c>
      <c r="K14" s="22">
        <v>2</v>
      </c>
      <c r="L14" s="19">
        <v>7916</v>
      </c>
      <c r="M14" s="21">
        <v>1329</v>
      </c>
      <c r="N14" s="23">
        <v>45058</v>
      </c>
      <c r="O14" s="36" t="s">
        <v>15</v>
      </c>
      <c r="R14" s="17"/>
    </row>
    <row r="15" spans="1:18" s="24" customFormat="1" ht="25.9" customHeight="1" x14ac:dyDescent="0.2">
      <c r="A15" s="17">
        <v>13</v>
      </c>
      <c r="B15" s="22" t="s">
        <v>31</v>
      </c>
      <c r="C15" s="25" t="s">
        <v>141</v>
      </c>
      <c r="D15" s="19">
        <v>1307.3</v>
      </c>
      <c r="E15" s="19" t="s">
        <v>18</v>
      </c>
      <c r="F15" s="20" t="s">
        <v>18</v>
      </c>
      <c r="G15" s="21">
        <v>227</v>
      </c>
      <c r="H15" s="20" t="s">
        <v>18</v>
      </c>
      <c r="I15" s="20" t="s">
        <v>18</v>
      </c>
      <c r="J15" s="22">
        <v>4</v>
      </c>
      <c r="K15" s="22">
        <v>1</v>
      </c>
      <c r="L15" s="19">
        <v>1307.4100000000001</v>
      </c>
      <c r="M15" s="21">
        <v>227</v>
      </c>
      <c r="N15" s="23">
        <v>45065</v>
      </c>
      <c r="O15" s="30" t="s">
        <v>100</v>
      </c>
      <c r="R15" s="17"/>
    </row>
    <row r="16" spans="1:18" s="24" customFormat="1" ht="25.9" customHeight="1" x14ac:dyDescent="0.2">
      <c r="A16" s="17">
        <v>14</v>
      </c>
      <c r="B16" s="22">
        <v>10</v>
      </c>
      <c r="C16" s="25" t="s">
        <v>53</v>
      </c>
      <c r="D16" s="28">
        <v>1282.04</v>
      </c>
      <c r="E16" s="28">
        <v>4465.49</v>
      </c>
      <c r="F16" s="20">
        <f>(D16-E16)/E16</f>
        <v>-0.71290048796436678</v>
      </c>
      <c r="G16" s="29">
        <v>178</v>
      </c>
      <c r="H16" s="21">
        <v>13</v>
      </c>
      <c r="I16" s="21">
        <f t="shared" ref="I16:I39" si="1">G16/H16</f>
        <v>13.692307692307692</v>
      </c>
      <c r="J16" s="22">
        <v>3</v>
      </c>
      <c r="K16" s="22">
        <v>5</v>
      </c>
      <c r="L16" s="28">
        <v>72886.960000000006</v>
      </c>
      <c r="M16" s="29">
        <v>10420</v>
      </c>
      <c r="N16" s="23">
        <v>45037</v>
      </c>
      <c r="O16" s="30" t="s">
        <v>14</v>
      </c>
      <c r="R16" s="17"/>
    </row>
    <row r="17" spans="1:19" s="24" customFormat="1" ht="25.9" customHeight="1" x14ac:dyDescent="0.2">
      <c r="A17" s="17">
        <v>15</v>
      </c>
      <c r="B17" s="22">
        <v>13</v>
      </c>
      <c r="C17" s="18" t="s">
        <v>19</v>
      </c>
      <c r="D17" s="19">
        <v>1201.2</v>
      </c>
      <c r="E17" s="19">
        <v>2716.01</v>
      </c>
      <c r="F17" s="20">
        <f>(D17-E17)/E17</f>
        <v>-0.55773358713701349</v>
      </c>
      <c r="G17" s="21">
        <v>176</v>
      </c>
      <c r="H17" s="21">
        <v>14</v>
      </c>
      <c r="I17" s="21">
        <f t="shared" si="1"/>
        <v>12.571428571428571</v>
      </c>
      <c r="J17" s="22">
        <v>3</v>
      </c>
      <c r="K17" s="22">
        <v>7</v>
      </c>
      <c r="L17" s="19">
        <v>136062.25</v>
      </c>
      <c r="M17" s="21">
        <v>19647</v>
      </c>
      <c r="N17" s="23">
        <v>45023</v>
      </c>
      <c r="O17" s="30" t="s">
        <v>12</v>
      </c>
      <c r="R17" s="17"/>
    </row>
    <row r="18" spans="1:19" s="24" customFormat="1" ht="25.9" customHeight="1" x14ac:dyDescent="0.2">
      <c r="A18" s="17">
        <v>16</v>
      </c>
      <c r="B18" s="11" t="s">
        <v>31</v>
      </c>
      <c r="C18" s="13" t="s">
        <v>136</v>
      </c>
      <c r="D18" s="8">
        <v>902.03</v>
      </c>
      <c r="E18" s="19" t="s">
        <v>18</v>
      </c>
      <c r="F18" s="20" t="s">
        <v>18</v>
      </c>
      <c r="G18" s="10">
        <v>216</v>
      </c>
      <c r="H18" s="10">
        <v>39</v>
      </c>
      <c r="I18" s="11">
        <f t="shared" si="1"/>
        <v>5.5384615384615383</v>
      </c>
      <c r="J18" s="11">
        <v>12</v>
      </c>
      <c r="K18" s="11">
        <v>1</v>
      </c>
      <c r="L18" s="19">
        <v>902.03</v>
      </c>
      <c r="M18" s="21">
        <v>216</v>
      </c>
      <c r="N18" s="12">
        <v>45065</v>
      </c>
      <c r="O18" s="34" t="s">
        <v>68</v>
      </c>
      <c r="R18" s="17"/>
    </row>
    <row r="19" spans="1:19" s="24" customFormat="1" ht="25.9" customHeight="1" x14ac:dyDescent="0.2">
      <c r="A19" s="17">
        <v>17</v>
      </c>
      <c r="B19" s="11" t="s">
        <v>57</v>
      </c>
      <c r="C19" s="13" t="s">
        <v>143</v>
      </c>
      <c r="D19" s="8">
        <v>725.81</v>
      </c>
      <c r="E19" s="19" t="s">
        <v>18</v>
      </c>
      <c r="F19" s="20" t="s">
        <v>18</v>
      </c>
      <c r="G19" s="10">
        <v>127</v>
      </c>
      <c r="H19" s="10">
        <v>4</v>
      </c>
      <c r="I19" s="11">
        <f t="shared" si="1"/>
        <v>31.75</v>
      </c>
      <c r="J19" s="11">
        <v>4</v>
      </c>
      <c r="K19" s="11">
        <v>0</v>
      </c>
      <c r="L19" s="19">
        <v>725.81</v>
      </c>
      <c r="M19" s="21">
        <v>127</v>
      </c>
      <c r="N19" s="12" t="s">
        <v>59</v>
      </c>
      <c r="O19" s="30" t="s">
        <v>40</v>
      </c>
      <c r="R19" s="17"/>
    </row>
    <row r="20" spans="1:19" s="27" customFormat="1" ht="25.9" customHeight="1" x14ac:dyDescent="0.15">
      <c r="A20" s="17">
        <v>18</v>
      </c>
      <c r="B20" s="22">
        <v>14</v>
      </c>
      <c r="C20" s="18" t="s">
        <v>20</v>
      </c>
      <c r="D20" s="19">
        <v>501.62</v>
      </c>
      <c r="E20" s="19">
        <v>1201.07</v>
      </c>
      <c r="F20" s="20">
        <f>(D20-E20)/E20</f>
        <v>-0.58235573280491559</v>
      </c>
      <c r="G20" s="21">
        <v>74</v>
      </c>
      <c r="H20" s="21">
        <v>6</v>
      </c>
      <c r="I20" s="11">
        <f t="shared" si="1"/>
        <v>12.333333333333334</v>
      </c>
      <c r="J20" s="22">
        <v>1</v>
      </c>
      <c r="K20" s="22">
        <v>9</v>
      </c>
      <c r="L20" s="19">
        <v>322739.98</v>
      </c>
      <c r="M20" s="21">
        <v>44280</v>
      </c>
      <c r="N20" s="23">
        <v>45009</v>
      </c>
      <c r="O20" s="30" t="s">
        <v>13</v>
      </c>
      <c r="R20" s="17"/>
      <c r="S20" s="24"/>
    </row>
    <row r="21" spans="1:19" s="27" customFormat="1" ht="25.9" customHeight="1" x14ac:dyDescent="0.15">
      <c r="A21" s="17">
        <v>19</v>
      </c>
      <c r="B21" s="22">
        <v>20</v>
      </c>
      <c r="C21" s="25" t="s">
        <v>66</v>
      </c>
      <c r="D21" s="28">
        <v>466.4</v>
      </c>
      <c r="E21" s="28">
        <v>453</v>
      </c>
      <c r="F21" s="20">
        <f>(D21-E21)/E21</f>
        <v>2.9580573951434829E-2</v>
      </c>
      <c r="G21" s="21">
        <v>100</v>
      </c>
      <c r="H21" s="21">
        <v>4</v>
      </c>
      <c r="I21" s="11">
        <f t="shared" si="1"/>
        <v>25</v>
      </c>
      <c r="J21" s="22">
        <v>3</v>
      </c>
      <c r="K21" s="22">
        <v>4</v>
      </c>
      <c r="L21" s="19">
        <v>15325.67</v>
      </c>
      <c r="M21" s="21">
        <v>2416</v>
      </c>
      <c r="N21" s="23">
        <v>45047</v>
      </c>
      <c r="O21" s="30" t="s">
        <v>61</v>
      </c>
    </row>
    <row r="22" spans="1:19" s="27" customFormat="1" ht="25.9" customHeight="1" x14ac:dyDescent="0.15">
      <c r="A22" s="17">
        <v>20</v>
      </c>
      <c r="B22" s="11" t="s">
        <v>57</v>
      </c>
      <c r="C22" s="13" t="s">
        <v>140</v>
      </c>
      <c r="D22" s="8">
        <v>383.95</v>
      </c>
      <c r="E22" s="19" t="s">
        <v>18</v>
      </c>
      <c r="F22" s="20" t="s">
        <v>18</v>
      </c>
      <c r="G22" s="10">
        <v>71</v>
      </c>
      <c r="H22" s="10">
        <v>5</v>
      </c>
      <c r="I22" s="11">
        <f t="shared" si="1"/>
        <v>14.2</v>
      </c>
      <c r="J22" s="11">
        <v>5</v>
      </c>
      <c r="K22" s="11">
        <v>0</v>
      </c>
      <c r="L22" s="19">
        <v>383.95</v>
      </c>
      <c r="M22" s="21">
        <v>71</v>
      </c>
      <c r="N22" s="12" t="s">
        <v>59</v>
      </c>
      <c r="O22" s="30" t="s">
        <v>13</v>
      </c>
    </row>
    <row r="23" spans="1:19" s="27" customFormat="1" ht="25.9" customHeight="1" x14ac:dyDescent="0.15">
      <c r="A23" s="17">
        <v>21</v>
      </c>
      <c r="B23" s="22">
        <v>22</v>
      </c>
      <c r="C23" s="25" t="s">
        <v>79</v>
      </c>
      <c r="D23" s="19">
        <v>378.2</v>
      </c>
      <c r="E23" s="19">
        <v>405.8</v>
      </c>
      <c r="F23" s="20">
        <f>(D23-E23)/E23</f>
        <v>-6.8013799901429334E-2</v>
      </c>
      <c r="G23" s="21">
        <v>76</v>
      </c>
      <c r="H23" s="21">
        <v>5</v>
      </c>
      <c r="I23" s="11">
        <f t="shared" si="1"/>
        <v>15.2</v>
      </c>
      <c r="J23" s="22">
        <v>3</v>
      </c>
      <c r="K23" s="22">
        <v>9</v>
      </c>
      <c r="L23" s="19">
        <v>45274</v>
      </c>
      <c r="M23" s="21">
        <v>5276</v>
      </c>
      <c r="N23" s="23">
        <v>45012</v>
      </c>
      <c r="O23" s="36" t="s">
        <v>68</v>
      </c>
    </row>
    <row r="24" spans="1:19" s="27" customFormat="1" ht="25.9" customHeight="1" x14ac:dyDescent="0.15">
      <c r="A24" s="17">
        <v>22</v>
      </c>
      <c r="B24" s="22">
        <v>16</v>
      </c>
      <c r="C24" s="18" t="s">
        <v>36</v>
      </c>
      <c r="D24" s="19">
        <v>327.3</v>
      </c>
      <c r="E24" s="19">
        <v>775.59999999999991</v>
      </c>
      <c r="F24" s="20">
        <f>(D24-E24)/E24</f>
        <v>-0.57800412583806082</v>
      </c>
      <c r="G24" s="21">
        <v>46</v>
      </c>
      <c r="H24" s="21">
        <v>5</v>
      </c>
      <c r="I24" s="11">
        <f t="shared" si="1"/>
        <v>9.1999999999999993</v>
      </c>
      <c r="J24" s="22">
        <v>1</v>
      </c>
      <c r="K24" s="22">
        <v>12</v>
      </c>
      <c r="L24" s="19">
        <v>232599.43000000005</v>
      </c>
      <c r="M24" s="21">
        <v>36466</v>
      </c>
      <c r="N24" s="23">
        <v>44988</v>
      </c>
      <c r="O24" s="30" t="s">
        <v>39</v>
      </c>
    </row>
    <row r="25" spans="1:19" s="27" customFormat="1" ht="25.9" customHeight="1" x14ac:dyDescent="0.15">
      <c r="A25" s="17">
        <v>23</v>
      </c>
      <c r="B25" s="22">
        <v>18</v>
      </c>
      <c r="C25" s="18" t="s">
        <v>26</v>
      </c>
      <c r="D25" s="19">
        <v>274.06</v>
      </c>
      <c r="E25" s="19">
        <v>521.76</v>
      </c>
      <c r="F25" s="20">
        <f>(D25-E25)/E25</f>
        <v>-0.47473934375958293</v>
      </c>
      <c r="G25" s="21">
        <v>43</v>
      </c>
      <c r="H25" s="21">
        <v>6</v>
      </c>
      <c r="I25" s="11">
        <f t="shared" si="1"/>
        <v>7.166666666666667</v>
      </c>
      <c r="J25" s="22">
        <v>1</v>
      </c>
      <c r="K25" s="22">
        <v>8</v>
      </c>
      <c r="L25" s="19">
        <v>68203.48</v>
      </c>
      <c r="M25" s="21">
        <v>10276</v>
      </c>
      <c r="N25" s="23">
        <v>45016</v>
      </c>
      <c r="O25" s="30" t="s">
        <v>121</v>
      </c>
    </row>
    <row r="26" spans="1:19" s="27" customFormat="1" ht="25.9" customHeight="1" x14ac:dyDescent="0.15">
      <c r="A26" s="17">
        <v>24</v>
      </c>
      <c r="B26" s="22">
        <v>32</v>
      </c>
      <c r="C26" s="18" t="s">
        <v>37</v>
      </c>
      <c r="D26" s="19">
        <v>247</v>
      </c>
      <c r="E26" s="19">
        <v>141.19999999999999</v>
      </c>
      <c r="F26" s="20">
        <f>(D26-E26)/E26</f>
        <v>0.74929178470254976</v>
      </c>
      <c r="G26" s="21">
        <v>64</v>
      </c>
      <c r="H26" s="21">
        <v>2</v>
      </c>
      <c r="I26" s="11">
        <f t="shared" si="1"/>
        <v>32</v>
      </c>
      <c r="J26" s="22">
        <v>2</v>
      </c>
      <c r="K26" s="22">
        <v>14</v>
      </c>
      <c r="L26" s="19">
        <v>276497.83</v>
      </c>
      <c r="M26" s="21">
        <v>46419</v>
      </c>
      <c r="N26" s="23">
        <v>44973</v>
      </c>
      <c r="O26" s="30" t="s">
        <v>13</v>
      </c>
    </row>
    <row r="27" spans="1:19" s="27" customFormat="1" ht="25.9" customHeight="1" x14ac:dyDescent="0.15">
      <c r="A27" s="17">
        <v>25</v>
      </c>
      <c r="B27" s="22">
        <v>26</v>
      </c>
      <c r="C27" s="25" t="s">
        <v>94</v>
      </c>
      <c r="D27" s="19">
        <v>214.7</v>
      </c>
      <c r="E27" s="19">
        <v>253.4</v>
      </c>
      <c r="F27" s="20">
        <f>(D27-E27)/E27</f>
        <v>-0.15272296764009477</v>
      </c>
      <c r="G27" s="21">
        <v>46</v>
      </c>
      <c r="H27" s="21">
        <v>4</v>
      </c>
      <c r="I27" s="11">
        <f t="shared" si="1"/>
        <v>11.5</v>
      </c>
      <c r="J27" s="22">
        <v>4</v>
      </c>
      <c r="K27" s="22">
        <v>5</v>
      </c>
      <c r="L27" s="19">
        <v>2711.2000000000003</v>
      </c>
      <c r="M27" s="21">
        <v>490</v>
      </c>
      <c r="N27" s="23">
        <v>45043</v>
      </c>
      <c r="O27" s="36" t="s">
        <v>95</v>
      </c>
    </row>
    <row r="28" spans="1:19" s="27" customFormat="1" ht="25.9" customHeight="1" x14ac:dyDescent="0.15">
      <c r="A28" s="17">
        <v>26</v>
      </c>
      <c r="B28" s="22">
        <v>45</v>
      </c>
      <c r="C28" s="25" t="s">
        <v>75</v>
      </c>
      <c r="D28" s="19">
        <v>145.30000000000001</v>
      </c>
      <c r="E28" s="19" t="s">
        <v>18</v>
      </c>
      <c r="F28" s="20" t="s">
        <v>18</v>
      </c>
      <c r="G28" s="21">
        <v>43</v>
      </c>
      <c r="H28" s="21">
        <v>3</v>
      </c>
      <c r="I28" s="11">
        <f t="shared" si="1"/>
        <v>14.333333333333334</v>
      </c>
      <c r="J28" s="22">
        <v>3</v>
      </c>
      <c r="K28" s="22" t="s">
        <v>18</v>
      </c>
      <c r="L28" s="19">
        <v>9378</v>
      </c>
      <c r="M28" s="21">
        <v>1633</v>
      </c>
      <c r="N28" s="23">
        <v>45012</v>
      </c>
      <c r="O28" s="36" t="s">
        <v>68</v>
      </c>
    </row>
    <row r="29" spans="1:19" s="27" customFormat="1" ht="25.9" customHeight="1" x14ac:dyDescent="0.15">
      <c r="A29" s="17">
        <v>27</v>
      </c>
      <c r="B29" s="22">
        <v>25</v>
      </c>
      <c r="C29" s="18" t="s">
        <v>58</v>
      </c>
      <c r="D29" s="19">
        <v>137.5</v>
      </c>
      <c r="E29" s="19">
        <v>293.7</v>
      </c>
      <c r="F29" s="20">
        <f>(D29-E29)/E29</f>
        <v>-0.53183520599250933</v>
      </c>
      <c r="G29" s="21">
        <v>35</v>
      </c>
      <c r="H29" s="21">
        <v>1</v>
      </c>
      <c r="I29" s="11">
        <f t="shared" si="1"/>
        <v>35</v>
      </c>
      <c r="J29" s="22">
        <v>1</v>
      </c>
      <c r="K29" s="22">
        <v>4</v>
      </c>
      <c r="L29" s="19">
        <v>9823.4700000000012</v>
      </c>
      <c r="M29" s="21">
        <v>1615</v>
      </c>
      <c r="N29" s="23">
        <v>45044</v>
      </c>
      <c r="O29" s="30" t="s">
        <v>16</v>
      </c>
    </row>
    <row r="30" spans="1:19" s="27" customFormat="1" ht="25.9" customHeight="1" x14ac:dyDescent="0.15">
      <c r="A30" s="17">
        <v>28</v>
      </c>
      <c r="B30" s="22">
        <v>21</v>
      </c>
      <c r="C30" s="25" t="s">
        <v>67</v>
      </c>
      <c r="D30" s="28">
        <v>134.19999999999999</v>
      </c>
      <c r="E30" s="28">
        <v>440.1</v>
      </c>
      <c r="F30" s="20">
        <f>(D30-E30)/E30</f>
        <v>-0.69506930243126563</v>
      </c>
      <c r="G30" s="29">
        <v>21</v>
      </c>
      <c r="H30" s="21">
        <v>4</v>
      </c>
      <c r="I30" s="11">
        <f t="shared" si="1"/>
        <v>5.25</v>
      </c>
      <c r="J30" s="22">
        <v>2</v>
      </c>
      <c r="K30" s="22">
        <v>9</v>
      </c>
      <c r="L30" s="28">
        <v>54871</v>
      </c>
      <c r="M30" s="29">
        <v>7250</v>
      </c>
      <c r="N30" s="23">
        <v>45012</v>
      </c>
      <c r="O30" s="36" t="s">
        <v>68</v>
      </c>
    </row>
    <row r="31" spans="1:19" s="27" customFormat="1" ht="25.9" customHeight="1" x14ac:dyDescent="0.15">
      <c r="A31" s="17">
        <v>29</v>
      </c>
      <c r="B31" s="22">
        <v>43</v>
      </c>
      <c r="C31" s="25" t="s">
        <v>78</v>
      </c>
      <c r="D31" s="19">
        <v>114.2</v>
      </c>
      <c r="E31" s="19" t="s">
        <v>18</v>
      </c>
      <c r="F31" s="20" t="s">
        <v>18</v>
      </c>
      <c r="G31" s="21">
        <v>32</v>
      </c>
      <c r="H31" s="21">
        <v>2</v>
      </c>
      <c r="I31" s="11">
        <f t="shared" si="1"/>
        <v>16</v>
      </c>
      <c r="J31" s="22">
        <v>2</v>
      </c>
      <c r="K31" s="20" t="s">
        <v>18</v>
      </c>
      <c r="L31" s="19">
        <v>21906</v>
      </c>
      <c r="M31" s="21">
        <v>2621</v>
      </c>
      <c r="N31" s="23">
        <v>45012</v>
      </c>
      <c r="O31" s="36" t="s">
        <v>68</v>
      </c>
    </row>
    <row r="32" spans="1:19" s="27" customFormat="1" ht="25.9" customHeight="1" x14ac:dyDescent="0.15">
      <c r="A32" s="17">
        <v>30</v>
      </c>
      <c r="B32" s="22">
        <v>38</v>
      </c>
      <c r="C32" s="25" t="s">
        <v>43</v>
      </c>
      <c r="D32" s="19">
        <v>73.8</v>
      </c>
      <c r="E32" s="19">
        <v>76.2</v>
      </c>
      <c r="F32" s="20">
        <f>(D32-E32)/E32</f>
        <v>-3.149606299212606E-2</v>
      </c>
      <c r="G32" s="21">
        <v>12</v>
      </c>
      <c r="H32" s="21">
        <v>2</v>
      </c>
      <c r="I32" s="11">
        <f t="shared" si="1"/>
        <v>6</v>
      </c>
      <c r="J32" s="22">
        <v>1</v>
      </c>
      <c r="K32" s="22">
        <v>13</v>
      </c>
      <c r="L32" s="19">
        <v>129604.68</v>
      </c>
      <c r="M32" s="21">
        <v>20333</v>
      </c>
      <c r="N32" s="23">
        <v>44981</v>
      </c>
      <c r="O32" s="30" t="s">
        <v>17</v>
      </c>
    </row>
    <row r="33" spans="1:15" s="27" customFormat="1" ht="25.9" customHeight="1" x14ac:dyDescent="0.15">
      <c r="A33" s="17">
        <v>31</v>
      </c>
      <c r="B33" s="22">
        <v>27</v>
      </c>
      <c r="C33" s="25" t="s">
        <v>102</v>
      </c>
      <c r="D33" s="19">
        <v>73.400000000000006</v>
      </c>
      <c r="E33" s="19">
        <v>230.4</v>
      </c>
      <c r="F33" s="20">
        <f>(D33-E33)/E33</f>
        <v>-0.68142361111111105</v>
      </c>
      <c r="G33" s="21">
        <v>14</v>
      </c>
      <c r="H33" s="21">
        <v>7</v>
      </c>
      <c r="I33" s="11">
        <f t="shared" si="1"/>
        <v>2</v>
      </c>
      <c r="J33" s="22">
        <v>4</v>
      </c>
      <c r="K33" s="17">
        <v>3</v>
      </c>
      <c r="L33" s="19">
        <v>3229</v>
      </c>
      <c r="M33" s="21">
        <v>572</v>
      </c>
      <c r="N33" s="23">
        <v>45051</v>
      </c>
      <c r="O33" s="36" t="s">
        <v>68</v>
      </c>
    </row>
    <row r="34" spans="1:15" s="27" customFormat="1" ht="25.9" customHeight="1" x14ac:dyDescent="0.15">
      <c r="A34" s="17">
        <v>32</v>
      </c>
      <c r="B34" s="22">
        <v>29</v>
      </c>
      <c r="C34" s="18" t="s">
        <v>23</v>
      </c>
      <c r="D34" s="19">
        <v>64.5</v>
      </c>
      <c r="E34" s="19">
        <v>222.15</v>
      </c>
      <c r="F34" s="20">
        <f>(D34-E34)/E34</f>
        <v>-0.70965563808237675</v>
      </c>
      <c r="G34" s="21">
        <v>10</v>
      </c>
      <c r="H34" s="21">
        <v>1</v>
      </c>
      <c r="I34" s="11">
        <f t="shared" si="1"/>
        <v>10</v>
      </c>
      <c r="J34" s="22">
        <v>1</v>
      </c>
      <c r="K34" s="22">
        <v>6</v>
      </c>
      <c r="L34" s="19">
        <v>35171.089999999997</v>
      </c>
      <c r="M34" s="21">
        <v>5512</v>
      </c>
      <c r="N34" s="23">
        <v>45030</v>
      </c>
      <c r="O34" s="30" t="s">
        <v>12</v>
      </c>
    </row>
    <row r="35" spans="1:15" s="27" customFormat="1" ht="25.9" customHeight="1" x14ac:dyDescent="0.15">
      <c r="A35" s="17">
        <v>33</v>
      </c>
      <c r="B35" s="11">
        <v>41</v>
      </c>
      <c r="C35" s="13" t="s">
        <v>101</v>
      </c>
      <c r="D35" s="8">
        <v>62</v>
      </c>
      <c r="E35" s="19" t="s">
        <v>18</v>
      </c>
      <c r="F35" s="20" t="s">
        <v>18</v>
      </c>
      <c r="G35" s="10">
        <v>13</v>
      </c>
      <c r="H35" s="10">
        <v>2</v>
      </c>
      <c r="I35" s="11">
        <f t="shared" si="1"/>
        <v>6.5</v>
      </c>
      <c r="J35" s="11">
        <v>1</v>
      </c>
      <c r="K35" s="20" t="s">
        <v>18</v>
      </c>
      <c r="L35" s="19">
        <v>726</v>
      </c>
      <c r="M35" s="21">
        <v>149</v>
      </c>
      <c r="N35" s="23">
        <v>45012</v>
      </c>
      <c r="O35" s="36" t="s">
        <v>68</v>
      </c>
    </row>
    <row r="36" spans="1:15" s="27" customFormat="1" ht="25.9" customHeight="1" x14ac:dyDescent="0.15">
      <c r="A36" s="17">
        <v>34</v>
      </c>
      <c r="B36" s="22">
        <v>35</v>
      </c>
      <c r="C36" s="25" t="s">
        <v>80</v>
      </c>
      <c r="D36" s="19">
        <v>61.1</v>
      </c>
      <c r="E36" s="19">
        <v>112.80000000000001</v>
      </c>
      <c r="F36" s="20">
        <f>(D36-E36)/E36</f>
        <v>-0.45833333333333337</v>
      </c>
      <c r="G36" s="21">
        <v>9</v>
      </c>
      <c r="H36" s="21">
        <v>1</v>
      </c>
      <c r="I36" s="11">
        <f t="shared" si="1"/>
        <v>9</v>
      </c>
      <c r="J36" s="22">
        <v>1</v>
      </c>
      <c r="K36" s="22">
        <v>9</v>
      </c>
      <c r="L36" s="19">
        <v>9457</v>
      </c>
      <c r="M36" s="21">
        <v>1718</v>
      </c>
      <c r="N36" s="23">
        <v>45012</v>
      </c>
      <c r="O36" s="36" t="s">
        <v>68</v>
      </c>
    </row>
    <row r="37" spans="1:15" s="27" customFormat="1" ht="25.9" customHeight="1" x14ac:dyDescent="0.15">
      <c r="A37" s="17">
        <v>35</v>
      </c>
      <c r="B37" s="22">
        <v>36</v>
      </c>
      <c r="C37" s="25" t="s">
        <v>110</v>
      </c>
      <c r="D37" s="19">
        <v>60.5</v>
      </c>
      <c r="E37" s="19">
        <v>98.6</v>
      </c>
      <c r="F37" s="20">
        <f>(D37-E37)/E37</f>
        <v>-0.38640973630831638</v>
      </c>
      <c r="G37" s="21">
        <v>12</v>
      </c>
      <c r="H37" s="21">
        <v>4</v>
      </c>
      <c r="I37" s="11">
        <f t="shared" si="1"/>
        <v>3</v>
      </c>
      <c r="J37" s="22">
        <v>2</v>
      </c>
      <c r="K37" s="22">
        <v>3</v>
      </c>
      <c r="L37" s="19">
        <v>900.85</v>
      </c>
      <c r="M37" s="21">
        <v>162</v>
      </c>
      <c r="N37" s="23">
        <v>45052</v>
      </c>
      <c r="O37" s="30" t="s">
        <v>30</v>
      </c>
    </row>
    <row r="38" spans="1:15" s="27" customFormat="1" ht="25.9" customHeight="1" x14ac:dyDescent="0.15">
      <c r="A38" s="17">
        <v>36</v>
      </c>
      <c r="B38" s="22">
        <v>39</v>
      </c>
      <c r="C38" s="18" t="s">
        <v>106</v>
      </c>
      <c r="D38" s="19">
        <v>33.299999999999997</v>
      </c>
      <c r="E38" s="19">
        <v>12.9</v>
      </c>
      <c r="F38" s="20">
        <f>(D38-E38)/E38</f>
        <v>1.5813953488372092</v>
      </c>
      <c r="G38" s="21">
        <v>7</v>
      </c>
      <c r="H38" s="21">
        <v>1</v>
      </c>
      <c r="I38" s="11">
        <f t="shared" si="1"/>
        <v>7</v>
      </c>
      <c r="J38" s="22">
        <v>1</v>
      </c>
      <c r="K38" s="20" t="s">
        <v>18</v>
      </c>
      <c r="L38" s="19">
        <v>40046.080000000009</v>
      </c>
      <c r="M38" s="21">
        <v>6797</v>
      </c>
      <c r="N38" s="23">
        <v>44678</v>
      </c>
      <c r="O38" s="30" t="s">
        <v>16</v>
      </c>
    </row>
    <row r="39" spans="1:15" s="27" customFormat="1" ht="25.9" customHeight="1" x14ac:dyDescent="0.15">
      <c r="A39" s="17">
        <v>37</v>
      </c>
      <c r="B39" s="22">
        <v>30</v>
      </c>
      <c r="C39" s="18" t="s">
        <v>21</v>
      </c>
      <c r="D39" s="19">
        <v>33.200000000000003</v>
      </c>
      <c r="E39" s="19">
        <v>216.28</v>
      </c>
      <c r="F39" s="20">
        <f>(D39-E39)/E39</f>
        <v>-0.84649528389125195</v>
      </c>
      <c r="G39" s="21">
        <v>5</v>
      </c>
      <c r="H39" s="21">
        <v>1</v>
      </c>
      <c r="I39" s="11">
        <f t="shared" si="1"/>
        <v>5</v>
      </c>
      <c r="J39" s="22">
        <v>1</v>
      </c>
      <c r="K39" s="22">
        <v>6</v>
      </c>
      <c r="L39" s="19">
        <v>52948.23</v>
      </c>
      <c r="M39" s="21">
        <v>8459</v>
      </c>
      <c r="N39" s="23">
        <v>45030</v>
      </c>
      <c r="O39" s="30" t="s">
        <v>14</v>
      </c>
    </row>
    <row r="40" spans="1:15" s="27" customFormat="1" ht="25.9" customHeight="1" x14ac:dyDescent="0.15">
      <c r="A40" s="17">
        <v>38</v>
      </c>
      <c r="B40" s="22">
        <v>19</v>
      </c>
      <c r="C40" s="18" t="s">
        <v>22</v>
      </c>
      <c r="D40" s="19">
        <v>33</v>
      </c>
      <c r="E40" s="19">
        <v>472</v>
      </c>
      <c r="F40" s="20">
        <f>(D40-E40)/E40</f>
        <v>-0.93008474576271183</v>
      </c>
      <c r="G40" s="21">
        <v>3</v>
      </c>
      <c r="H40" s="22" t="s">
        <v>18</v>
      </c>
      <c r="I40" s="22" t="s">
        <v>18</v>
      </c>
      <c r="J40" s="22">
        <v>1</v>
      </c>
      <c r="K40" s="22">
        <v>6</v>
      </c>
      <c r="L40" s="19">
        <v>52834</v>
      </c>
      <c r="M40" s="21">
        <v>7992</v>
      </c>
      <c r="N40" s="23">
        <v>45030</v>
      </c>
      <c r="O40" s="30" t="s">
        <v>15</v>
      </c>
    </row>
    <row r="41" spans="1:15" s="27" customFormat="1" ht="25.9" customHeight="1" x14ac:dyDescent="0.15">
      <c r="A41" s="17">
        <v>39</v>
      </c>
      <c r="B41" s="20" t="s">
        <v>18</v>
      </c>
      <c r="C41" s="13" t="s">
        <v>38</v>
      </c>
      <c r="D41" s="8">
        <v>22.3</v>
      </c>
      <c r="E41" s="19" t="s">
        <v>18</v>
      </c>
      <c r="F41" s="20" t="s">
        <v>18</v>
      </c>
      <c r="G41" s="10">
        <v>3</v>
      </c>
      <c r="H41" s="10">
        <v>1</v>
      </c>
      <c r="I41" s="11">
        <f>G41/H41</f>
        <v>3</v>
      </c>
      <c r="J41" s="11">
        <v>1</v>
      </c>
      <c r="K41" s="20" t="s">
        <v>18</v>
      </c>
      <c r="L41" s="19">
        <v>35490.699999999997</v>
      </c>
      <c r="M41" s="21">
        <v>5701</v>
      </c>
      <c r="N41" s="12">
        <v>44960</v>
      </c>
      <c r="O41" s="31" t="s">
        <v>40</v>
      </c>
    </row>
    <row r="42" spans="1:15" s="27" customFormat="1" ht="25.9" customHeight="1" x14ac:dyDescent="0.15">
      <c r="A42" s="17">
        <v>40</v>
      </c>
      <c r="B42" s="11">
        <v>42</v>
      </c>
      <c r="C42" s="13" t="s">
        <v>76</v>
      </c>
      <c r="D42" s="8">
        <v>20</v>
      </c>
      <c r="E42" s="19" t="s">
        <v>18</v>
      </c>
      <c r="F42" s="20" t="s">
        <v>18</v>
      </c>
      <c r="G42" s="10">
        <v>5</v>
      </c>
      <c r="H42" s="10">
        <v>1</v>
      </c>
      <c r="I42" s="11">
        <f>G42/H42</f>
        <v>5</v>
      </c>
      <c r="J42" s="11">
        <v>1</v>
      </c>
      <c r="K42" s="20" t="s">
        <v>18</v>
      </c>
      <c r="L42" s="19">
        <v>19036</v>
      </c>
      <c r="M42" s="21">
        <v>2150</v>
      </c>
      <c r="N42" s="12">
        <v>45012</v>
      </c>
      <c r="O42" s="34" t="s">
        <v>68</v>
      </c>
    </row>
    <row r="43" spans="1:15" s="27" customFormat="1" ht="25.9" customHeight="1" x14ac:dyDescent="0.15">
      <c r="A43" s="17">
        <v>41</v>
      </c>
      <c r="B43" s="22">
        <v>17</v>
      </c>
      <c r="C43" s="25" t="s">
        <v>137</v>
      </c>
      <c r="D43" s="19">
        <v>16.8</v>
      </c>
      <c r="E43" s="19" t="s">
        <v>18</v>
      </c>
      <c r="F43" s="20" t="s">
        <v>18</v>
      </c>
      <c r="G43" s="21">
        <v>3</v>
      </c>
      <c r="H43" s="21">
        <v>2</v>
      </c>
      <c r="I43" s="22">
        <f>G43/H43</f>
        <v>1.5</v>
      </c>
      <c r="J43" s="22">
        <v>2</v>
      </c>
      <c r="K43" s="22">
        <v>2</v>
      </c>
      <c r="L43" s="19">
        <v>743</v>
      </c>
      <c r="M43" s="21">
        <v>143</v>
      </c>
      <c r="N43" s="23">
        <v>45059</v>
      </c>
      <c r="O43" s="36" t="s">
        <v>139</v>
      </c>
    </row>
    <row r="44" spans="1:15" s="27" customFormat="1" ht="25.9" customHeight="1" x14ac:dyDescent="0.15">
      <c r="A44" s="17">
        <v>42</v>
      </c>
      <c r="B44" s="22">
        <v>40</v>
      </c>
      <c r="C44" s="25" t="s">
        <v>129</v>
      </c>
      <c r="D44" s="19">
        <v>6</v>
      </c>
      <c r="E44" s="19">
        <v>10</v>
      </c>
      <c r="F44" s="20">
        <f>(D44-E44)/E44</f>
        <v>-0.4</v>
      </c>
      <c r="G44" s="21">
        <v>1</v>
      </c>
      <c r="H44" s="21">
        <v>1</v>
      </c>
      <c r="I44" s="22">
        <f>G44/H44</f>
        <v>1</v>
      </c>
      <c r="J44" s="22">
        <v>1</v>
      </c>
      <c r="K44" s="20" t="s">
        <v>18</v>
      </c>
      <c r="L44" s="19">
        <v>127</v>
      </c>
      <c r="M44" s="21">
        <v>22</v>
      </c>
      <c r="N44" s="23">
        <v>45012</v>
      </c>
      <c r="O44" s="36" t="s">
        <v>68</v>
      </c>
    </row>
    <row r="45" spans="1:15" s="45" customFormat="1" ht="25.9" customHeight="1" x14ac:dyDescent="0.2">
      <c r="A45" s="46" t="s">
        <v>85</v>
      </c>
      <c r="B45" s="51" t="s">
        <v>85</v>
      </c>
      <c r="C45" s="46" t="s">
        <v>144</v>
      </c>
      <c r="D45" s="47">
        <f>SUBTOTAL(109,Table132456[Pajamos 
(GBO)])</f>
        <v>231755.17</v>
      </c>
      <c r="E45" s="47" t="s">
        <v>165</v>
      </c>
      <c r="F45" s="42">
        <f>(D45-E45)/E45</f>
        <v>0.23849134544988171</v>
      </c>
      <c r="G45" s="43">
        <f>SUBTOTAL(109,Table132456[Žiūrovų sk. 
(ADM)])</f>
        <v>35145</v>
      </c>
      <c r="H45" s="55"/>
      <c r="I45" s="46"/>
      <c r="J45" s="51"/>
      <c r="K45" s="46"/>
      <c r="L45" s="53"/>
      <c r="M45" s="55"/>
      <c r="N45" s="60"/>
      <c r="O45" s="46"/>
    </row>
    <row r="46" spans="1:15" ht="11.25" hidden="1" x14ac:dyDescent="0.15">
      <c r="F46" s="3"/>
      <c r="O46" s="40"/>
    </row>
    <row r="47" spans="1:15" ht="11.25" hidden="1" x14ac:dyDescent="0.15">
      <c r="F47" s="3"/>
      <c r="O47" s="40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5D26B-3249-4911-B54B-9E5D79879962}">
  <sheetPr>
    <pageSetUpPr fitToPage="1"/>
  </sheetPr>
  <dimension ref="A1:XFC45"/>
  <sheetViews>
    <sheetView topLeftCell="A15" zoomScale="60" zoomScaleNormal="60" workbookViewId="0">
      <selection activeCell="N26" sqref="N26:O26"/>
    </sheetView>
  </sheetViews>
  <sheetFormatPr defaultColWidth="0" defaultRowHeight="11.25" zeroHeight="1" x14ac:dyDescent="0.15"/>
  <cols>
    <col min="1" max="2" width="4.7109375" style="1" customWidth="1"/>
    <col min="3" max="3" width="30.7109375" style="1" customWidth="1"/>
    <col min="4" max="5" width="20.7109375" style="37" customWidth="1"/>
    <col min="6" max="6" width="20.7109375" style="58" customWidth="1"/>
    <col min="7" max="8" width="20.7109375" style="56" customWidth="1"/>
    <col min="9" max="9" width="20.7109375" style="1" customWidth="1"/>
    <col min="10" max="10" width="20.7109375" style="38" customWidth="1"/>
    <col min="11" max="11" width="20.7109375" style="1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123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1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4" t="s">
        <v>4</v>
      </c>
      <c r="I2" s="15" t="s">
        <v>28</v>
      </c>
      <c r="J2" s="50" t="s">
        <v>10</v>
      </c>
      <c r="K2" s="15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17">
        <v>1</v>
      </c>
      <c r="B3" s="17">
        <v>1</v>
      </c>
      <c r="C3" s="25" t="s">
        <v>97</v>
      </c>
      <c r="D3" s="19">
        <v>59772.94</v>
      </c>
      <c r="E3" s="19">
        <v>105870.33</v>
      </c>
      <c r="F3" s="20">
        <f>(D3-E3)/E3</f>
        <v>-0.43541368011226561</v>
      </c>
      <c r="G3" s="21">
        <v>7938</v>
      </c>
      <c r="H3" s="21">
        <v>315</v>
      </c>
      <c r="I3" s="21">
        <f t="shared" ref="I3:I9" si="0">G3/H3</f>
        <v>25.2</v>
      </c>
      <c r="J3" s="22">
        <v>28</v>
      </c>
      <c r="K3" s="22">
        <v>2</v>
      </c>
      <c r="L3" s="19">
        <v>179817.7</v>
      </c>
      <c r="M3" s="21">
        <v>23941</v>
      </c>
      <c r="N3" s="23">
        <v>45051</v>
      </c>
      <c r="O3" s="30" t="s">
        <v>40</v>
      </c>
    </row>
    <row r="4" spans="1:18" s="24" customFormat="1" ht="25.9" customHeight="1" x14ac:dyDescent="0.2">
      <c r="A4" s="6">
        <v>2</v>
      </c>
      <c r="B4" s="8" t="s">
        <v>57</v>
      </c>
      <c r="C4" s="13" t="s">
        <v>132</v>
      </c>
      <c r="D4" s="8">
        <v>28149.85</v>
      </c>
      <c r="E4" s="19" t="s">
        <v>18</v>
      </c>
      <c r="F4" s="20" t="s">
        <v>18</v>
      </c>
      <c r="G4" s="10">
        <v>3678</v>
      </c>
      <c r="H4" s="10">
        <v>28</v>
      </c>
      <c r="I4" s="21">
        <f t="shared" si="0"/>
        <v>131.35714285714286</v>
      </c>
      <c r="J4" s="11">
        <v>14</v>
      </c>
      <c r="K4" s="11">
        <v>0</v>
      </c>
      <c r="L4" s="19">
        <v>28149.85</v>
      </c>
      <c r="M4" s="21">
        <v>3678</v>
      </c>
      <c r="N4" s="12" t="s">
        <v>59</v>
      </c>
      <c r="O4" s="34" t="s">
        <v>61</v>
      </c>
    </row>
    <row r="5" spans="1:18" s="24" customFormat="1" ht="25.9" customHeight="1" x14ac:dyDescent="0.2">
      <c r="A5" s="17">
        <v>3</v>
      </c>
      <c r="B5" s="17">
        <v>3</v>
      </c>
      <c r="C5" s="18" t="s">
        <v>11</v>
      </c>
      <c r="D5" s="19">
        <v>16967.87</v>
      </c>
      <c r="E5" s="19">
        <v>24873.18</v>
      </c>
      <c r="F5" s="20">
        <f>(D5-E5)/E5</f>
        <v>-0.31782466094001655</v>
      </c>
      <c r="G5" s="21">
        <v>3174</v>
      </c>
      <c r="H5" s="21">
        <v>214</v>
      </c>
      <c r="I5" s="21">
        <f t="shared" si="0"/>
        <v>14.83177570093458</v>
      </c>
      <c r="J5" s="22">
        <v>16</v>
      </c>
      <c r="K5" s="22">
        <v>6</v>
      </c>
      <c r="L5" s="19">
        <v>487227.82</v>
      </c>
      <c r="M5" s="21">
        <v>87964</v>
      </c>
      <c r="N5" s="23">
        <v>45023</v>
      </c>
      <c r="O5" s="30" t="s">
        <v>61</v>
      </c>
      <c r="R5" s="17"/>
    </row>
    <row r="6" spans="1:18" s="24" customFormat="1" ht="25.9" customHeight="1" x14ac:dyDescent="0.2">
      <c r="A6" s="6">
        <v>4</v>
      </c>
      <c r="B6" s="17">
        <v>2</v>
      </c>
      <c r="C6" s="18" t="s">
        <v>50</v>
      </c>
      <c r="D6" s="19">
        <v>14570.24</v>
      </c>
      <c r="E6" s="19">
        <v>26598.080000000002</v>
      </c>
      <c r="F6" s="20">
        <f>(D6-E6)/E6</f>
        <v>-0.45220707660101789</v>
      </c>
      <c r="G6" s="21">
        <v>2990</v>
      </c>
      <c r="H6" s="21">
        <v>218</v>
      </c>
      <c r="I6" s="21">
        <f t="shared" si="0"/>
        <v>13.715596330275229</v>
      </c>
      <c r="J6" s="22">
        <v>13</v>
      </c>
      <c r="K6" s="22">
        <v>4</v>
      </c>
      <c r="L6" s="19">
        <v>213804.43000000002</v>
      </c>
      <c r="M6" s="21">
        <v>42421</v>
      </c>
      <c r="N6" s="23">
        <v>45037</v>
      </c>
      <c r="O6" s="30" t="s">
        <v>51</v>
      </c>
      <c r="R6" s="17"/>
    </row>
    <row r="7" spans="1:18" s="24" customFormat="1" ht="25.9" customHeight="1" x14ac:dyDescent="0.2">
      <c r="A7" s="17">
        <v>5</v>
      </c>
      <c r="B7" s="17" t="s">
        <v>31</v>
      </c>
      <c r="C7" s="25" t="s">
        <v>112</v>
      </c>
      <c r="D7" s="19">
        <v>14450.77</v>
      </c>
      <c r="E7" s="19" t="s">
        <v>18</v>
      </c>
      <c r="F7" s="20" t="s">
        <v>18</v>
      </c>
      <c r="G7" s="21">
        <v>2261</v>
      </c>
      <c r="H7" s="21">
        <v>183</v>
      </c>
      <c r="I7" s="21">
        <f t="shared" si="0"/>
        <v>12.355191256830601</v>
      </c>
      <c r="J7" s="22">
        <v>16</v>
      </c>
      <c r="K7" s="22">
        <v>1</v>
      </c>
      <c r="L7" s="19">
        <v>14960.25</v>
      </c>
      <c r="M7" s="21">
        <v>2342</v>
      </c>
      <c r="N7" s="23">
        <v>45058</v>
      </c>
      <c r="O7" s="36" t="s">
        <v>13</v>
      </c>
      <c r="R7" s="17"/>
    </row>
    <row r="8" spans="1:18" s="24" customFormat="1" ht="25.9" customHeight="1" x14ac:dyDescent="0.2">
      <c r="A8" s="6">
        <v>6</v>
      </c>
      <c r="B8" s="17" t="s">
        <v>31</v>
      </c>
      <c r="C8" s="25" t="s">
        <v>111</v>
      </c>
      <c r="D8" s="19">
        <v>10099.66</v>
      </c>
      <c r="E8" s="19" t="s">
        <v>18</v>
      </c>
      <c r="F8" s="20" t="s">
        <v>18</v>
      </c>
      <c r="G8" s="21">
        <v>1620</v>
      </c>
      <c r="H8" s="21">
        <v>163</v>
      </c>
      <c r="I8" s="21">
        <f t="shared" si="0"/>
        <v>9.9386503067484657</v>
      </c>
      <c r="J8" s="22">
        <v>16</v>
      </c>
      <c r="K8" s="22">
        <v>1</v>
      </c>
      <c r="L8" s="19">
        <v>17901.88</v>
      </c>
      <c r="M8" s="21">
        <v>2588</v>
      </c>
      <c r="N8" s="23">
        <v>45058</v>
      </c>
      <c r="O8" s="36" t="s">
        <v>12</v>
      </c>
      <c r="R8" s="17"/>
    </row>
    <row r="9" spans="1:18" s="24" customFormat="1" ht="25.9" customHeight="1" x14ac:dyDescent="0.2">
      <c r="A9" s="17">
        <v>7</v>
      </c>
      <c r="B9" s="17" t="s">
        <v>31</v>
      </c>
      <c r="C9" s="25" t="s">
        <v>127</v>
      </c>
      <c r="D9" s="19">
        <v>9491.15</v>
      </c>
      <c r="E9" s="19" t="s">
        <v>18</v>
      </c>
      <c r="F9" s="20" t="s">
        <v>18</v>
      </c>
      <c r="G9" s="21">
        <v>1987</v>
      </c>
      <c r="H9" s="21">
        <v>227</v>
      </c>
      <c r="I9" s="21">
        <f t="shared" si="0"/>
        <v>8.7533039647577091</v>
      </c>
      <c r="J9" s="22">
        <v>19</v>
      </c>
      <c r="K9" s="22">
        <v>1</v>
      </c>
      <c r="L9" s="19">
        <v>9491.15</v>
      </c>
      <c r="M9" s="21">
        <v>1987</v>
      </c>
      <c r="N9" s="23">
        <v>45058</v>
      </c>
      <c r="O9" s="36" t="s">
        <v>13</v>
      </c>
      <c r="R9" s="17"/>
    </row>
    <row r="10" spans="1:18" s="24" customFormat="1" ht="25.9" customHeight="1" x14ac:dyDescent="0.2">
      <c r="A10" s="6">
        <v>8</v>
      </c>
      <c r="B10" s="17" t="s">
        <v>31</v>
      </c>
      <c r="C10" s="25" t="s">
        <v>126</v>
      </c>
      <c r="D10" s="19">
        <v>6044</v>
      </c>
      <c r="E10" s="19" t="s">
        <v>18</v>
      </c>
      <c r="F10" s="20" t="s">
        <v>18</v>
      </c>
      <c r="G10" s="21">
        <v>1007</v>
      </c>
      <c r="H10" s="21" t="s">
        <v>18</v>
      </c>
      <c r="I10" s="22" t="s">
        <v>18</v>
      </c>
      <c r="J10" s="22">
        <v>18</v>
      </c>
      <c r="K10" s="22">
        <v>1</v>
      </c>
      <c r="L10" s="19">
        <v>6044</v>
      </c>
      <c r="M10" s="21">
        <v>1007</v>
      </c>
      <c r="N10" s="23">
        <v>45058</v>
      </c>
      <c r="O10" s="36" t="s">
        <v>15</v>
      </c>
      <c r="R10" s="17"/>
    </row>
    <row r="11" spans="1:18" s="24" customFormat="1" ht="25.9" customHeight="1" x14ac:dyDescent="0.2">
      <c r="A11" s="17">
        <v>9</v>
      </c>
      <c r="B11" s="17">
        <v>6</v>
      </c>
      <c r="C11" s="18" t="s">
        <v>60</v>
      </c>
      <c r="D11" s="19">
        <v>5075.72</v>
      </c>
      <c r="E11" s="19">
        <v>9180.89</v>
      </c>
      <c r="F11" s="20">
        <f t="shared" ref="F11:F16" si="1">(D11-E11)/E11</f>
        <v>-0.44714292405202538</v>
      </c>
      <c r="G11" s="21">
        <v>748</v>
      </c>
      <c r="H11" s="21">
        <v>61</v>
      </c>
      <c r="I11" s="21">
        <f t="shared" ref="I11:I20" si="2">G11/H11</f>
        <v>12.262295081967213</v>
      </c>
      <c r="J11" s="22">
        <v>8</v>
      </c>
      <c r="K11" s="22">
        <v>3</v>
      </c>
      <c r="L11" s="19">
        <v>45822</v>
      </c>
      <c r="M11" s="21">
        <v>6342</v>
      </c>
      <c r="N11" s="23">
        <v>45044</v>
      </c>
      <c r="O11" s="30" t="s">
        <v>13</v>
      </c>
      <c r="R11" s="17"/>
    </row>
    <row r="12" spans="1:18" s="24" customFormat="1" ht="25.9" customHeight="1" x14ac:dyDescent="0.2">
      <c r="A12" s="6">
        <v>10</v>
      </c>
      <c r="B12" s="17">
        <v>5</v>
      </c>
      <c r="C12" s="25" t="s">
        <v>53</v>
      </c>
      <c r="D12" s="28">
        <v>4465.49</v>
      </c>
      <c r="E12" s="28">
        <v>10332.59</v>
      </c>
      <c r="F12" s="20">
        <f t="shared" si="1"/>
        <v>-0.56782471771356458</v>
      </c>
      <c r="G12" s="29">
        <v>631</v>
      </c>
      <c r="H12" s="21">
        <v>35</v>
      </c>
      <c r="I12" s="21">
        <f t="shared" si="2"/>
        <v>18.028571428571428</v>
      </c>
      <c r="J12" s="22">
        <v>6</v>
      </c>
      <c r="K12" s="22">
        <v>4</v>
      </c>
      <c r="L12" s="28">
        <v>71604.92</v>
      </c>
      <c r="M12" s="29">
        <v>10242</v>
      </c>
      <c r="N12" s="23">
        <v>45037</v>
      </c>
      <c r="O12" s="30" t="s">
        <v>14</v>
      </c>
      <c r="R12" s="17"/>
    </row>
    <row r="13" spans="1:18" s="24" customFormat="1" ht="25.9" customHeight="1" x14ac:dyDescent="0.2">
      <c r="A13" s="17">
        <v>11</v>
      </c>
      <c r="B13" s="17">
        <v>4</v>
      </c>
      <c r="C13" s="25" t="s">
        <v>116</v>
      </c>
      <c r="D13" s="19">
        <v>3081.23</v>
      </c>
      <c r="E13" s="19">
        <v>12528.33</v>
      </c>
      <c r="F13" s="20">
        <f t="shared" si="1"/>
        <v>-0.75405900068085696</v>
      </c>
      <c r="G13" s="21">
        <v>706</v>
      </c>
      <c r="H13" s="21">
        <v>56</v>
      </c>
      <c r="I13" s="21">
        <f t="shared" si="2"/>
        <v>12.607142857142858</v>
      </c>
      <c r="J13" s="22">
        <v>13</v>
      </c>
      <c r="K13" s="22">
        <v>2</v>
      </c>
      <c r="L13" s="19">
        <v>15639.559999999998</v>
      </c>
      <c r="M13" s="21">
        <v>3442</v>
      </c>
      <c r="N13" s="23">
        <v>45051</v>
      </c>
      <c r="O13" s="30" t="s">
        <v>117</v>
      </c>
      <c r="R13" s="17"/>
    </row>
    <row r="14" spans="1:18" s="24" customFormat="1" ht="25.9" customHeight="1" x14ac:dyDescent="0.2">
      <c r="A14" s="6">
        <v>12</v>
      </c>
      <c r="B14" s="17">
        <v>8</v>
      </c>
      <c r="C14" s="25" t="s">
        <v>90</v>
      </c>
      <c r="D14" s="19">
        <v>3069.81</v>
      </c>
      <c r="E14" s="19">
        <v>7122.05</v>
      </c>
      <c r="F14" s="20">
        <f t="shared" si="1"/>
        <v>-0.56897101255958604</v>
      </c>
      <c r="G14" s="21">
        <v>645</v>
      </c>
      <c r="H14" s="21">
        <v>60</v>
      </c>
      <c r="I14" s="21">
        <f t="shared" si="2"/>
        <v>10.75</v>
      </c>
      <c r="J14" s="22">
        <v>8</v>
      </c>
      <c r="K14" s="22">
        <v>3</v>
      </c>
      <c r="L14" s="19">
        <v>30271.209999999995</v>
      </c>
      <c r="M14" s="21">
        <v>5997</v>
      </c>
      <c r="N14" s="23">
        <v>45044</v>
      </c>
      <c r="O14" s="36" t="s">
        <v>16</v>
      </c>
      <c r="R14" s="17"/>
    </row>
    <row r="15" spans="1:18" s="24" customFormat="1" ht="25.9" customHeight="1" x14ac:dyDescent="0.2">
      <c r="A15" s="17">
        <v>13</v>
      </c>
      <c r="B15" s="17">
        <v>9</v>
      </c>
      <c r="C15" s="18" t="s">
        <v>19</v>
      </c>
      <c r="D15" s="19">
        <v>2716.01</v>
      </c>
      <c r="E15" s="19">
        <v>5916.14</v>
      </c>
      <c r="F15" s="20">
        <f t="shared" si="1"/>
        <v>-0.54091519132407273</v>
      </c>
      <c r="G15" s="21">
        <v>416</v>
      </c>
      <c r="H15" s="21">
        <v>23</v>
      </c>
      <c r="I15" s="21">
        <f t="shared" si="2"/>
        <v>18.086956521739129</v>
      </c>
      <c r="J15" s="22">
        <v>5</v>
      </c>
      <c r="K15" s="22">
        <v>6</v>
      </c>
      <c r="L15" s="19">
        <v>134861.04999999999</v>
      </c>
      <c r="M15" s="21">
        <v>19471</v>
      </c>
      <c r="N15" s="23">
        <v>45023</v>
      </c>
      <c r="O15" s="30" t="s">
        <v>12</v>
      </c>
      <c r="R15" s="17"/>
    </row>
    <row r="16" spans="1:18" s="24" customFormat="1" ht="25.9" customHeight="1" x14ac:dyDescent="0.2">
      <c r="A16" s="6">
        <v>14</v>
      </c>
      <c r="B16" s="17">
        <v>10</v>
      </c>
      <c r="C16" s="18" t="s">
        <v>20</v>
      </c>
      <c r="D16" s="19">
        <v>1201.07</v>
      </c>
      <c r="E16" s="19">
        <v>4488.45</v>
      </c>
      <c r="F16" s="20">
        <f t="shared" si="1"/>
        <v>-0.7324087379830454</v>
      </c>
      <c r="G16" s="21">
        <v>177</v>
      </c>
      <c r="H16" s="21">
        <v>14</v>
      </c>
      <c r="I16" s="21">
        <f t="shared" si="2"/>
        <v>12.642857142857142</v>
      </c>
      <c r="J16" s="22">
        <v>3</v>
      </c>
      <c r="K16" s="22">
        <v>8</v>
      </c>
      <c r="L16" s="19">
        <v>322238.36</v>
      </c>
      <c r="M16" s="21">
        <v>44206</v>
      </c>
      <c r="N16" s="23">
        <v>45009</v>
      </c>
      <c r="O16" s="30" t="s">
        <v>13</v>
      </c>
      <c r="R16" s="17"/>
    </row>
    <row r="17" spans="1:19" s="24" customFormat="1" ht="25.9" customHeight="1" x14ac:dyDescent="0.2">
      <c r="A17" s="17">
        <v>15</v>
      </c>
      <c r="B17" s="17" t="s">
        <v>18</v>
      </c>
      <c r="C17" s="25" t="s">
        <v>124</v>
      </c>
      <c r="D17" s="19">
        <v>1050</v>
      </c>
      <c r="E17" s="19" t="s">
        <v>18</v>
      </c>
      <c r="F17" s="20" t="s">
        <v>18</v>
      </c>
      <c r="G17" s="21">
        <v>145</v>
      </c>
      <c r="H17" s="21">
        <v>1</v>
      </c>
      <c r="I17" s="21">
        <f t="shared" si="2"/>
        <v>145</v>
      </c>
      <c r="J17" s="22">
        <v>1</v>
      </c>
      <c r="K17" s="20" t="s">
        <v>18</v>
      </c>
      <c r="L17" s="19">
        <v>5396.73</v>
      </c>
      <c r="M17" s="21">
        <v>986</v>
      </c>
      <c r="N17" s="23">
        <v>44414</v>
      </c>
      <c r="O17" s="36" t="s">
        <v>125</v>
      </c>
      <c r="R17" s="17"/>
    </row>
    <row r="18" spans="1:19" s="24" customFormat="1" ht="25.9" customHeight="1" x14ac:dyDescent="0.2">
      <c r="A18" s="6">
        <v>16</v>
      </c>
      <c r="B18" s="17">
        <v>23</v>
      </c>
      <c r="C18" s="18" t="s">
        <v>36</v>
      </c>
      <c r="D18" s="19">
        <v>775.59999999999991</v>
      </c>
      <c r="E18" s="19">
        <v>681.7</v>
      </c>
      <c r="F18" s="20">
        <f>(D18-E18)/E18</f>
        <v>0.13774387560510468</v>
      </c>
      <c r="G18" s="21">
        <v>132</v>
      </c>
      <c r="H18" s="21">
        <v>9</v>
      </c>
      <c r="I18" s="21">
        <f t="shared" si="2"/>
        <v>14.666666666666666</v>
      </c>
      <c r="J18" s="22">
        <v>3</v>
      </c>
      <c r="K18" s="22">
        <v>11</v>
      </c>
      <c r="L18" s="19">
        <v>232272.13000000006</v>
      </c>
      <c r="M18" s="21">
        <v>36420</v>
      </c>
      <c r="N18" s="23">
        <v>44988</v>
      </c>
      <c r="O18" s="30" t="s">
        <v>39</v>
      </c>
      <c r="R18" s="17"/>
    </row>
    <row r="19" spans="1:19" s="24" customFormat="1" ht="25.9" customHeight="1" x14ac:dyDescent="0.2">
      <c r="A19" s="17">
        <v>17</v>
      </c>
      <c r="B19" s="6" t="s">
        <v>31</v>
      </c>
      <c r="C19" s="13" t="s">
        <v>137</v>
      </c>
      <c r="D19" s="8">
        <v>726.5</v>
      </c>
      <c r="E19" s="19" t="s">
        <v>18</v>
      </c>
      <c r="F19" s="20" t="s">
        <v>18</v>
      </c>
      <c r="G19" s="10">
        <v>140</v>
      </c>
      <c r="H19" s="10">
        <v>24</v>
      </c>
      <c r="I19" s="11">
        <f t="shared" si="2"/>
        <v>5.833333333333333</v>
      </c>
      <c r="J19" s="11">
        <v>11</v>
      </c>
      <c r="K19" s="11">
        <v>1</v>
      </c>
      <c r="L19" s="19">
        <v>726.5</v>
      </c>
      <c r="M19" s="21">
        <v>140</v>
      </c>
      <c r="N19" s="12">
        <v>45059</v>
      </c>
      <c r="O19" s="34" t="s">
        <v>139</v>
      </c>
      <c r="R19" s="17"/>
    </row>
    <row r="20" spans="1:19" s="24" customFormat="1" ht="25.9" customHeight="1" x14ac:dyDescent="0.2">
      <c r="A20" s="6">
        <v>18</v>
      </c>
      <c r="B20" s="17">
        <v>18</v>
      </c>
      <c r="C20" s="18" t="s">
        <v>26</v>
      </c>
      <c r="D20" s="19">
        <v>521.76</v>
      </c>
      <c r="E20" s="19">
        <v>1214.6600000000001</v>
      </c>
      <c r="F20" s="20">
        <f>(D20-E20)/E20</f>
        <v>-0.57044769729800937</v>
      </c>
      <c r="G20" s="21">
        <v>80</v>
      </c>
      <c r="H20" s="21">
        <v>7</v>
      </c>
      <c r="I20" s="21">
        <f t="shared" si="2"/>
        <v>11.428571428571429</v>
      </c>
      <c r="J20" s="22">
        <v>1</v>
      </c>
      <c r="K20" s="22">
        <v>7</v>
      </c>
      <c r="L20" s="19">
        <v>67929.42</v>
      </c>
      <c r="M20" s="21">
        <v>10233</v>
      </c>
      <c r="N20" s="23">
        <v>45016</v>
      </c>
      <c r="O20" s="30" t="s">
        <v>121</v>
      </c>
      <c r="R20" s="17"/>
    </row>
    <row r="21" spans="1:19" s="27" customFormat="1" ht="25.9" customHeight="1" x14ac:dyDescent="0.15">
      <c r="A21" s="17">
        <v>19</v>
      </c>
      <c r="B21" s="17">
        <v>12</v>
      </c>
      <c r="C21" s="18" t="s">
        <v>22</v>
      </c>
      <c r="D21" s="19">
        <v>472</v>
      </c>
      <c r="E21" s="19">
        <v>3104</v>
      </c>
      <c r="F21" s="20">
        <f>(D21-E21)/E21</f>
        <v>-0.84793814432989689</v>
      </c>
      <c r="G21" s="21">
        <v>75</v>
      </c>
      <c r="H21" s="22" t="s">
        <v>18</v>
      </c>
      <c r="I21" s="22" t="s">
        <v>18</v>
      </c>
      <c r="J21" s="22">
        <v>4</v>
      </c>
      <c r="K21" s="22">
        <v>5</v>
      </c>
      <c r="L21" s="19">
        <v>52801</v>
      </c>
      <c r="M21" s="21">
        <v>7989</v>
      </c>
      <c r="N21" s="23">
        <v>45030</v>
      </c>
      <c r="O21" s="30" t="s">
        <v>15</v>
      </c>
      <c r="R21" s="17"/>
      <c r="S21" s="24"/>
    </row>
    <row r="22" spans="1:19" s="27" customFormat="1" ht="25.9" customHeight="1" x14ac:dyDescent="0.15">
      <c r="A22" s="6">
        <v>20</v>
      </c>
      <c r="B22" s="17">
        <v>16</v>
      </c>
      <c r="C22" s="25" t="s">
        <v>66</v>
      </c>
      <c r="D22" s="28">
        <v>453</v>
      </c>
      <c r="E22" s="28">
        <v>1237</v>
      </c>
      <c r="F22" s="20">
        <f>(D22-E22)/E22</f>
        <v>-0.63379143088116408</v>
      </c>
      <c r="G22" s="21">
        <v>83</v>
      </c>
      <c r="H22" s="21">
        <v>2</v>
      </c>
      <c r="I22" s="22">
        <f>G22/H22</f>
        <v>41.5</v>
      </c>
      <c r="J22" s="22">
        <v>2</v>
      </c>
      <c r="K22" s="22">
        <v>3</v>
      </c>
      <c r="L22" s="19">
        <v>14859.27</v>
      </c>
      <c r="M22" s="21">
        <v>2316</v>
      </c>
      <c r="N22" s="23">
        <v>45047</v>
      </c>
      <c r="O22" s="30" t="s">
        <v>61</v>
      </c>
    </row>
    <row r="23" spans="1:19" s="27" customFormat="1" ht="25.9" customHeight="1" x14ac:dyDescent="0.15">
      <c r="A23" s="17">
        <v>21</v>
      </c>
      <c r="B23" s="17">
        <v>22</v>
      </c>
      <c r="C23" s="25" t="s">
        <v>67</v>
      </c>
      <c r="D23" s="28">
        <v>440.1</v>
      </c>
      <c r="E23" s="28">
        <v>759.2</v>
      </c>
      <c r="F23" s="20">
        <f>(D23-E23)/E23</f>
        <v>-0.42031085353003161</v>
      </c>
      <c r="G23" s="29">
        <v>72</v>
      </c>
      <c r="H23" s="21">
        <v>6</v>
      </c>
      <c r="I23" s="22">
        <f>G23/H23</f>
        <v>12</v>
      </c>
      <c r="J23" s="22">
        <v>3</v>
      </c>
      <c r="K23" s="22">
        <v>8</v>
      </c>
      <c r="L23" s="28">
        <v>54737</v>
      </c>
      <c r="M23" s="29">
        <v>7229</v>
      </c>
      <c r="N23" s="23">
        <v>45012</v>
      </c>
      <c r="O23" s="36" t="s">
        <v>68</v>
      </c>
    </row>
    <row r="24" spans="1:19" s="27" customFormat="1" ht="25.9" customHeight="1" x14ac:dyDescent="0.15">
      <c r="A24" s="6">
        <v>22</v>
      </c>
      <c r="B24" s="17">
        <v>21</v>
      </c>
      <c r="C24" s="25" t="s">
        <v>79</v>
      </c>
      <c r="D24" s="19">
        <v>405.8</v>
      </c>
      <c r="E24" s="19">
        <v>816.54000000000008</v>
      </c>
      <c r="F24" s="20">
        <f>(D24-E24)/E24</f>
        <v>-0.50302495897322852</v>
      </c>
      <c r="G24" s="21">
        <v>63</v>
      </c>
      <c r="H24" s="21">
        <v>5</v>
      </c>
      <c r="I24" s="22">
        <f>G24/H24</f>
        <v>12.6</v>
      </c>
      <c r="J24" s="22">
        <v>3</v>
      </c>
      <c r="K24" s="22">
        <v>8</v>
      </c>
      <c r="L24" s="19">
        <v>44896</v>
      </c>
      <c r="M24" s="21">
        <v>5200</v>
      </c>
      <c r="N24" s="23">
        <v>45012</v>
      </c>
      <c r="O24" s="36" t="s">
        <v>68</v>
      </c>
    </row>
    <row r="25" spans="1:19" s="27" customFormat="1" ht="25.9" customHeight="1" x14ac:dyDescent="0.15">
      <c r="A25" s="17">
        <v>23</v>
      </c>
      <c r="B25" s="8" t="s">
        <v>31</v>
      </c>
      <c r="C25" s="13" t="s">
        <v>131</v>
      </c>
      <c r="D25" s="8">
        <v>402.72</v>
      </c>
      <c r="E25" s="19" t="s">
        <v>18</v>
      </c>
      <c r="F25" s="20" t="s">
        <v>18</v>
      </c>
      <c r="G25" s="10">
        <v>65</v>
      </c>
      <c r="H25" s="21" t="s">
        <v>18</v>
      </c>
      <c r="I25" s="21" t="s">
        <v>18</v>
      </c>
      <c r="J25" s="11">
        <v>2</v>
      </c>
      <c r="K25" s="11">
        <v>1</v>
      </c>
      <c r="L25" s="19">
        <v>402.72</v>
      </c>
      <c r="M25" s="21">
        <v>45</v>
      </c>
      <c r="N25" s="12">
        <v>45058</v>
      </c>
      <c r="O25" s="34" t="s">
        <v>100</v>
      </c>
    </row>
    <row r="26" spans="1:19" s="27" customFormat="1" ht="25.9" customHeight="1" x14ac:dyDescent="0.15">
      <c r="A26" s="6">
        <v>24</v>
      </c>
      <c r="B26" s="17" t="s">
        <v>18</v>
      </c>
      <c r="C26" s="13" t="s">
        <v>128</v>
      </c>
      <c r="D26" s="8">
        <v>312</v>
      </c>
      <c r="E26" s="19" t="s">
        <v>18</v>
      </c>
      <c r="F26" s="20" t="s">
        <v>18</v>
      </c>
      <c r="G26" s="10">
        <v>104</v>
      </c>
      <c r="H26" s="10">
        <v>1</v>
      </c>
      <c r="I26" s="22">
        <f>G26/H26</f>
        <v>104</v>
      </c>
      <c r="J26" s="11">
        <v>1</v>
      </c>
      <c r="K26" s="20" t="s">
        <v>18</v>
      </c>
      <c r="L26" s="19">
        <v>645850.23</v>
      </c>
      <c r="M26" s="21">
        <v>99399</v>
      </c>
      <c r="N26" s="12">
        <v>44792</v>
      </c>
      <c r="O26" s="34" t="s">
        <v>12</v>
      </c>
    </row>
    <row r="27" spans="1:19" s="27" customFormat="1" ht="25.9" customHeight="1" x14ac:dyDescent="0.15">
      <c r="A27" s="17">
        <v>25</v>
      </c>
      <c r="B27" s="17">
        <v>15</v>
      </c>
      <c r="C27" s="18" t="s">
        <v>58</v>
      </c>
      <c r="D27" s="19">
        <v>293.7</v>
      </c>
      <c r="E27" s="19">
        <v>1683.9</v>
      </c>
      <c r="F27" s="20">
        <f t="shared" ref="F27:F32" si="3">(D27-E27)/E27</f>
        <v>-0.82558346695171925</v>
      </c>
      <c r="G27" s="21">
        <v>45</v>
      </c>
      <c r="H27" s="21">
        <v>4</v>
      </c>
      <c r="I27" s="22">
        <f>G27/H27</f>
        <v>11.25</v>
      </c>
      <c r="J27" s="22">
        <v>2</v>
      </c>
      <c r="K27" s="22">
        <v>3</v>
      </c>
      <c r="L27" s="19">
        <v>9685.9700000000012</v>
      </c>
      <c r="M27" s="21">
        <v>1580</v>
      </c>
      <c r="N27" s="23">
        <v>45044</v>
      </c>
      <c r="O27" s="30" t="s">
        <v>16</v>
      </c>
    </row>
    <row r="28" spans="1:19" s="27" customFormat="1" ht="25.9" customHeight="1" x14ac:dyDescent="0.15">
      <c r="A28" s="6">
        <v>26</v>
      </c>
      <c r="B28" s="17">
        <v>27</v>
      </c>
      <c r="C28" s="25" t="s">
        <v>94</v>
      </c>
      <c r="D28" s="19">
        <v>253.4</v>
      </c>
      <c r="E28" s="19">
        <v>524.70000000000005</v>
      </c>
      <c r="F28" s="20">
        <f t="shared" si="3"/>
        <v>-0.51705736611397002</v>
      </c>
      <c r="G28" s="21">
        <v>51</v>
      </c>
      <c r="H28" s="21">
        <v>5</v>
      </c>
      <c r="I28" s="22">
        <f>G28/H28</f>
        <v>10.199999999999999</v>
      </c>
      <c r="J28" s="22">
        <v>3</v>
      </c>
      <c r="K28" s="22">
        <v>4</v>
      </c>
      <c r="L28" s="19">
        <v>2496.5000000000005</v>
      </c>
      <c r="M28" s="21">
        <v>444</v>
      </c>
      <c r="N28" s="23">
        <v>45043</v>
      </c>
      <c r="O28" s="36" t="s">
        <v>95</v>
      </c>
    </row>
    <row r="29" spans="1:19" s="27" customFormat="1" ht="25.9" customHeight="1" x14ac:dyDescent="0.15">
      <c r="A29" s="17">
        <v>27</v>
      </c>
      <c r="B29" s="17">
        <v>13</v>
      </c>
      <c r="C29" s="25" t="s">
        <v>102</v>
      </c>
      <c r="D29" s="19">
        <v>230.4</v>
      </c>
      <c r="E29" s="19">
        <v>2647</v>
      </c>
      <c r="F29" s="20">
        <f t="shared" si="3"/>
        <v>-0.9129580657347941</v>
      </c>
      <c r="G29" s="21">
        <v>40</v>
      </c>
      <c r="H29" s="21">
        <v>11</v>
      </c>
      <c r="I29" s="22">
        <f>G29/H29</f>
        <v>3.6363636363636362</v>
      </c>
      <c r="J29" s="22">
        <v>5</v>
      </c>
      <c r="K29" s="17">
        <v>2</v>
      </c>
      <c r="L29" s="19">
        <v>3156</v>
      </c>
      <c r="M29" s="21">
        <v>558</v>
      </c>
      <c r="N29" s="23">
        <v>45051</v>
      </c>
      <c r="O29" s="36" t="s">
        <v>68</v>
      </c>
    </row>
    <row r="30" spans="1:19" s="27" customFormat="1" ht="25.9" customHeight="1" x14ac:dyDescent="0.15">
      <c r="A30" s="6">
        <v>28</v>
      </c>
      <c r="B30" s="17">
        <v>17</v>
      </c>
      <c r="C30" s="18" t="s">
        <v>56</v>
      </c>
      <c r="D30" s="19">
        <v>226</v>
      </c>
      <c r="E30" s="19">
        <v>1225</v>
      </c>
      <c r="F30" s="20">
        <f t="shared" si="3"/>
        <v>-0.81551020408163266</v>
      </c>
      <c r="G30" s="21">
        <v>49</v>
      </c>
      <c r="H30" s="21" t="s">
        <v>18</v>
      </c>
      <c r="I30" s="22" t="s">
        <v>18</v>
      </c>
      <c r="J30" s="22">
        <v>2</v>
      </c>
      <c r="K30" s="22">
        <v>4</v>
      </c>
      <c r="L30" s="19">
        <v>13364</v>
      </c>
      <c r="M30" s="21">
        <v>2855</v>
      </c>
      <c r="N30" s="23">
        <v>45037</v>
      </c>
      <c r="O30" s="30" t="s">
        <v>30</v>
      </c>
    </row>
    <row r="31" spans="1:19" s="27" customFormat="1" ht="25.9" customHeight="1" x14ac:dyDescent="0.15">
      <c r="A31" s="17">
        <v>29</v>
      </c>
      <c r="B31" s="17">
        <v>19</v>
      </c>
      <c r="C31" s="18" t="s">
        <v>23</v>
      </c>
      <c r="D31" s="19">
        <v>222.15</v>
      </c>
      <c r="E31" s="19">
        <v>1173.52</v>
      </c>
      <c r="F31" s="20">
        <f t="shared" si="3"/>
        <v>-0.81069772990660582</v>
      </c>
      <c r="G31" s="21">
        <v>40</v>
      </c>
      <c r="H31" s="21">
        <v>4</v>
      </c>
      <c r="I31" s="22">
        <f t="shared" ref="I31:I42" si="4">G31/H31</f>
        <v>10</v>
      </c>
      <c r="J31" s="22">
        <v>3</v>
      </c>
      <c r="K31" s="22">
        <v>5</v>
      </c>
      <c r="L31" s="19">
        <v>35106.589999999997</v>
      </c>
      <c r="M31" s="21">
        <v>5502</v>
      </c>
      <c r="N31" s="23">
        <v>45030</v>
      </c>
      <c r="O31" s="30" t="s">
        <v>12</v>
      </c>
    </row>
    <row r="32" spans="1:19" s="27" customFormat="1" ht="25.9" customHeight="1" x14ac:dyDescent="0.15">
      <c r="A32" s="6">
        <v>30</v>
      </c>
      <c r="B32" s="17">
        <v>11</v>
      </c>
      <c r="C32" s="18" t="s">
        <v>21</v>
      </c>
      <c r="D32" s="19">
        <v>216.28</v>
      </c>
      <c r="E32" s="19">
        <v>3477.22</v>
      </c>
      <c r="F32" s="20">
        <f t="shared" si="3"/>
        <v>-0.93780088691540942</v>
      </c>
      <c r="G32" s="21">
        <v>32</v>
      </c>
      <c r="H32" s="21">
        <v>5</v>
      </c>
      <c r="I32" s="22">
        <f t="shared" si="4"/>
        <v>6.4</v>
      </c>
      <c r="J32" s="22">
        <v>2</v>
      </c>
      <c r="K32" s="22">
        <v>5</v>
      </c>
      <c r="L32" s="19">
        <v>52915.03</v>
      </c>
      <c r="M32" s="21">
        <v>8454</v>
      </c>
      <c r="N32" s="23">
        <v>45030</v>
      </c>
      <c r="O32" s="30" t="s">
        <v>14</v>
      </c>
    </row>
    <row r="33" spans="1:15" s="27" customFormat="1" ht="25.9" customHeight="1" x14ac:dyDescent="0.15">
      <c r="A33" s="17">
        <v>31</v>
      </c>
      <c r="B33" s="8" t="s">
        <v>18</v>
      </c>
      <c r="C33" s="13" t="s">
        <v>133</v>
      </c>
      <c r="D33" s="8">
        <v>184.63</v>
      </c>
      <c r="E33" s="19" t="s">
        <v>18</v>
      </c>
      <c r="F33" s="20" t="s">
        <v>18</v>
      </c>
      <c r="G33" s="10">
        <v>64</v>
      </c>
      <c r="H33" s="10">
        <v>1</v>
      </c>
      <c r="I33" s="22">
        <f t="shared" si="4"/>
        <v>64</v>
      </c>
      <c r="J33" s="11">
        <v>1</v>
      </c>
      <c r="K33" s="20" t="s">
        <v>18</v>
      </c>
      <c r="L33" s="19">
        <v>234725.5</v>
      </c>
      <c r="M33" s="21">
        <v>50715</v>
      </c>
      <c r="N33" s="12">
        <v>44400</v>
      </c>
      <c r="O33" s="34" t="s">
        <v>40</v>
      </c>
    </row>
    <row r="34" spans="1:15" s="27" customFormat="1" ht="25.9" customHeight="1" x14ac:dyDescent="0.15">
      <c r="A34" s="6">
        <v>32</v>
      </c>
      <c r="B34" s="17">
        <v>36</v>
      </c>
      <c r="C34" s="18" t="s">
        <v>37</v>
      </c>
      <c r="D34" s="19">
        <v>141.19999999999999</v>
      </c>
      <c r="E34" s="19">
        <v>204.5</v>
      </c>
      <c r="F34" s="20">
        <f>(D34-E34)/E34</f>
        <v>-0.30953545232273844</v>
      </c>
      <c r="G34" s="21">
        <v>26</v>
      </c>
      <c r="H34" s="21">
        <v>2</v>
      </c>
      <c r="I34" s="22">
        <f t="shared" si="4"/>
        <v>13</v>
      </c>
      <c r="J34" s="22">
        <v>2</v>
      </c>
      <c r="K34" s="22">
        <v>13</v>
      </c>
      <c r="L34" s="19">
        <v>276250.83</v>
      </c>
      <c r="M34" s="21">
        <v>46355</v>
      </c>
      <c r="N34" s="23">
        <v>44973</v>
      </c>
      <c r="O34" s="30" t="s">
        <v>13</v>
      </c>
    </row>
    <row r="35" spans="1:15" s="27" customFormat="1" ht="25.9" customHeight="1" x14ac:dyDescent="0.15">
      <c r="A35" s="17">
        <v>33</v>
      </c>
      <c r="B35" s="19" t="s">
        <v>18</v>
      </c>
      <c r="C35" s="25" t="s">
        <v>130</v>
      </c>
      <c r="D35" s="19">
        <v>120</v>
      </c>
      <c r="E35" s="19" t="s">
        <v>18</v>
      </c>
      <c r="F35" s="20" t="s">
        <v>18</v>
      </c>
      <c r="G35" s="21">
        <v>24</v>
      </c>
      <c r="H35" s="21">
        <v>1</v>
      </c>
      <c r="I35" s="22">
        <f t="shared" si="4"/>
        <v>24</v>
      </c>
      <c r="J35" s="22">
        <v>1</v>
      </c>
      <c r="K35" s="20" t="s">
        <v>18</v>
      </c>
      <c r="L35" s="19">
        <v>177317</v>
      </c>
      <c r="M35" s="21">
        <v>30040</v>
      </c>
      <c r="N35" s="23">
        <v>44834</v>
      </c>
      <c r="O35" s="36" t="s">
        <v>68</v>
      </c>
    </row>
    <row r="36" spans="1:15" s="27" customFormat="1" ht="25.9" customHeight="1" x14ac:dyDescent="0.15">
      <c r="A36" s="6">
        <v>34</v>
      </c>
      <c r="B36" s="17">
        <v>30</v>
      </c>
      <c r="C36" s="18" t="s">
        <v>41</v>
      </c>
      <c r="D36" s="19">
        <v>118.06</v>
      </c>
      <c r="E36" s="19">
        <v>312.16000000000003</v>
      </c>
      <c r="F36" s="20">
        <f t="shared" ref="F36:F41" si="5">(D36-E36)/E36</f>
        <v>-0.62179651460789342</v>
      </c>
      <c r="G36" s="21">
        <v>23</v>
      </c>
      <c r="H36" s="21">
        <v>2</v>
      </c>
      <c r="I36" s="22">
        <f t="shared" si="4"/>
        <v>11.5</v>
      </c>
      <c r="J36" s="22">
        <v>2</v>
      </c>
      <c r="K36" s="22">
        <v>5</v>
      </c>
      <c r="L36" s="19">
        <v>8602.91</v>
      </c>
      <c r="M36" s="21">
        <v>1419</v>
      </c>
      <c r="N36" s="23">
        <v>45030</v>
      </c>
      <c r="O36" s="30" t="s">
        <v>46</v>
      </c>
    </row>
    <row r="37" spans="1:15" s="27" customFormat="1" ht="25.9" customHeight="1" x14ac:dyDescent="0.15">
      <c r="A37" s="17">
        <v>35</v>
      </c>
      <c r="B37" s="17">
        <v>24</v>
      </c>
      <c r="C37" s="25" t="s">
        <v>80</v>
      </c>
      <c r="D37" s="19">
        <v>112.80000000000001</v>
      </c>
      <c r="E37" s="19">
        <v>661.1</v>
      </c>
      <c r="F37" s="20">
        <f t="shared" si="5"/>
        <v>-0.829375283618212</v>
      </c>
      <c r="G37" s="21">
        <v>17</v>
      </c>
      <c r="H37" s="21">
        <v>3</v>
      </c>
      <c r="I37" s="22">
        <f t="shared" si="4"/>
        <v>5.666666666666667</v>
      </c>
      <c r="J37" s="22">
        <v>2</v>
      </c>
      <c r="K37" s="22">
        <v>8</v>
      </c>
      <c r="L37" s="19">
        <v>9396</v>
      </c>
      <c r="M37" s="21">
        <v>1709</v>
      </c>
      <c r="N37" s="23">
        <v>45012</v>
      </c>
      <c r="O37" s="36" t="s">
        <v>68</v>
      </c>
    </row>
    <row r="38" spans="1:15" s="27" customFormat="1" ht="25.9" customHeight="1" x14ac:dyDescent="0.15">
      <c r="A38" s="6">
        <v>36</v>
      </c>
      <c r="B38" s="17">
        <v>25</v>
      </c>
      <c r="C38" s="25" t="s">
        <v>110</v>
      </c>
      <c r="D38" s="19">
        <v>98.6</v>
      </c>
      <c r="E38" s="19">
        <v>645.95000000000005</v>
      </c>
      <c r="F38" s="20">
        <f t="shared" si="5"/>
        <v>-0.84735660654849443</v>
      </c>
      <c r="G38" s="21">
        <v>15</v>
      </c>
      <c r="H38" s="21">
        <v>3</v>
      </c>
      <c r="I38" s="22">
        <f t="shared" si="4"/>
        <v>5</v>
      </c>
      <c r="J38" s="22">
        <v>3</v>
      </c>
      <c r="K38" s="22">
        <v>2</v>
      </c>
      <c r="L38" s="19">
        <v>824.35</v>
      </c>
      <c r="M38" s="21">
        <v>145</v>
      </c>
      <c r="N38" s="23">
        <v>45052</v>
      </c>
      <c r="O38" s="30" t="s">
        <v>30</v>
      </c>
    </row>
    <row r="39" spans="1:15" s="27" customFormat="1" ht="25.9" customHeight="1" x14ac:dyDescent="0.15">
      <c r="A39" s="17">
        <v>37</v>
      </c>
      <c r="B39" s="17">
        <v>35</v>
      </c>
      <c r="C39" s="18" t="s">
        <v>35</v>
      </c>
      <c r="D39" s="19">
        <v>95</v>
      </c>
      <c r="E39" s="19">
        <v>212.8</v>
      </c>
      <c r="F39" s="20">
        <f t="shared" si="5"/>
        <v>-0.5535714285714286</v>
      </c>
      <c r="G39" s="21">
        <v>17</v>
      </c>
      <c r="H39" s="21">
        <v>2</v>
      </c>
      <c r="I39" s="22">
        <f t="shared" si="4"/>
        <v>8.5</v>
      </c>
      <c r="J39" s="22">
        <v>2</v>
      </c>
      <c r="K39" s="22">
        <v>5</v>
      </c>
      <c r="L39" s="19">
        <v>1399.25</v>
      </c>
      <c r="M39" s="21">
        <v>301</v>
      </c>
      <c r="N39" s="23">
        <v>45030</v>
      </c>
      <c r="O39" s="30" t="s">
        <v>30</v>
      </c>
    </row>
    <row r="40" spans="1:15" s="27" customFormat="1" ht="25.9" customHeight="1" x14ac:dyDescent="0.15">
      <c r="A40" s="6">
        <v>38</v>
      </c>
      <c r="B40" s="17">
        <v>32</v>
      </c>
      <c r="C40" s="25" t="s">
        <v>43</v>
      </c>
      <c r="D40" s="19">
        <v>76.2</v>
      </c>
      <c r="E40" s="19">
        <v>277.7</v>
      </c>
      <c r="F40" s="20">
        <f t="shared" si="5"/>
        <v>-0.72560316888728849</v>
      </c>
      <c r="G40" s="21">
        <v>11</v>
      </c>
      <c r="H40" s="21">
        <v>2</v>
      </c>
      <c r="I40" s="22">
        <f t="shared" si="4"/>
        <v>5.5</v>
      </c>
      <c r="J40" s="22">
        <v>1</v>
      </c>
      <c r="K40" s="22">
        <v>12</v>
      </c>
      <c r="L40" s="19">
        <v>129530.88</v>
      </c>
      <c r="M40" s="21">
        <v>20321</v>
      </c>
      <c r="N40" s="23">
        <v>44981</v>
      </c>
      <c r="O40" s="30" t="s">
        <v>17</v>
      </c>
    </row>
    <row r="41" spans="1:15" s="27" customFormat="1" ht="25.9" customHeight="1" x14ac:dyDescent="0.15">
      <c r="A41" s="17">
        <v>39</v>
      </c>
      <c r="B41" s="17">
        <v>31</v>
      </c>
      <c r="C41" s="18" t="s">
        <v>106</v>
      </c>
      <c r="D41" s="19">
        <v>12.9</v>
      </c>
      <c r="E41" s="19">
        <v>312</v>
      </c>
      <c r="F41" s="20">
        <f t="shared" si="5"/>
        <v>-0.95865384615384619</v>
      </c>
      <c r="G41" s="21">
        <v>2</v>
      </c>
      <c r="H41" s="21">
        <v>1</v>
      </c>
      <c r="I41" s="22">
        <f t="shared" si="4"/>
        <v>2</v>
      </c>
      <c r="J41" s="22">
        <v>1</v>
      </c>
      <c r="K41" s="20" t="s">
        <v>18</v>
      </c>
      <c r="L41" s="19">
        <v>40012.780000000006</v>
      </c>
      <c r="M41" s="21">
        <v>6790</v>
      </c>
      <c r="N41" s="23">
        <v>44678</v>
      </c>
      <c r="O41" s="30" t="s">
        <v>16</v>
      </c>
    </row>
    <row r="42" spans="1:15" s="27" customFormat="1" ht="25.9" customHeight="1" x14ac:dyDescent="0.15">
      <c r="A42" s="6">
        <v>40</v>
      </c>
      <c r="B42" s="19" t="s">
        <v>18</v>
      </c>
      <c r="C42" s="13" t="s">
        <v>129</v>
      </c>
      <c r="D42" s="8">
        <v>10</v>
      </c>
      <c r="E42" s="19" t="s">
        <v>18</v>
      </c>
      <c r="F42" s="20" t="s">
        <v>18</v>
      </c>
      <c r="G42" s="10">
        <v>2</v>
      </c>
      <c r="H42" s="10">
        <v>1</v>
      </c>
      <c r="I42" s="22">
        <f t="shared" si="4"/>
        <v>2</v>
      </c>
      <c r="J42" s="11">
        <v>1</v>
      </c>
      <c r="K42" s="20" t="s">
        <v>18</v>
      </c>
      <c r="L42" s="19">
        <v>121</v>
      </c>
      <c r="M42" s="21">
        <v>21</v>
      </c>
      <c r="N42" s="12">
        <v>45012</v>
      </c>
      <c r="O42" s="34" t="s">
        <v>68</v>
      </c>
    </row>
    <row r="43" spans="1:15" s="45" customFormat="1" ht="25.9" customHeight="1" x14ac:dyDescent="0.2">
      <c r="A43" s="46" t="s">
        <v>85</v>
      </c>
      <c r="B43" s="46"/>
      <c r="C43" s="46" t="s">
        <v>138</v>
      </c>
      <c r="D43" s="47">
        <f>SUBTOTAL(109,Table13245[Pajamos 
(GBO)])</f>
        <v>187126.61000000004</v>
      </c>
      <c r="E43" s="47" t="s">
        <v>134</v>
      </c>
      <c r="F43" s="42">
        <f>(D43-E43)/E43</f>
        <v>-0.22645866834222769</v>
      </c>
      <c r="G43" s="43">
        <f>SUBTOTAL(109,Table13245[Žiūrovų sk. 
(ADM)])</f>
        <v>29395</v>
      </c>
      <c r="H43" s="55"/>
      <c r="I43" s="46"/>
      <c r="J43" s="51"/>
      <c r="K43" s="46"/>
      <c r="L43" s="53"/>
      <c r="M43" s="55"/>
      <c r="N43" s="60"/>
      <c r="O43" s="46"/>
    </row>
    <row r="44" spans="1:15" hidden="1" x14ac:dyDescent="0.15">
      <c r="F44" s="3"/>
      <c r="O44" s="40"/>
    </row>
    <row r="45" spans="1:15" hidden="1" x14ac:dyDescent="0.15">
      <c r="F45" s="3"/>
      <c r="O45" s="40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CA617-3856-4C01-98B7-4D749A9E5DEC}">
  <sheetPr>
    <pageSetUpPr fitToPage="1"/>
  </sheetPr>
  <dimension ref="A1:XFC51"/>
  <sheetViews>
    <sheetView topLeftCell="A30" zoomScale="60" zoomScaleNormal="60" workbookViewId="0">
      <selection activeCell="G39" sqref="G39"/>
    </sheetView>
  </sheetViews>
  <sheetFormatPr defaultColWidth="0" defaultRowHeight="11.25" zeroHeight="1" x14ac:dyDescent="0.15"/>
  <cols>
    <col min="1" max="2" width="4.7109375" style="1" customWidth="1"/>
    <col min="3" max="3" width="30.7109375" style="1" customWidth="1"/>
    <col min="4" max="5" width="20.7109375" style="37" customWidth="1"/>
    <col min="6" max="6" width="20.7109375" style="58" customWidth="1"/>
    <col min="7" max="8" width="20.7109375" style="56" customWidth="1"/>
    <col min="9" max="9" width="20.7109375" style="1" customWidth="1"/>
    <col min="10" max="10" width="20.7109375" style="38" customWidth="1"/>
    <col min="11" max="11" width="20.7109375" style="1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123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1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4" t="s">
        <v>4</v>
      </c>
      <c r="I2" s="15" t="s">
        <v>28</v>
      </c>
      <c r="J2" s="50" t="s">
        <v>10</v>
      </c>
      <c r="K2" s="15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17">
        <v>1</v>
      </c>
      <c r="B3" s="17" t="s">
        <v>31</v>
      </c>
      <c r="C3" s="25" t="s">
        <v>97</v>
      </c>
      <c r="D3" s="19">
        <v>105870.33</v>
      </c>
      <c r="E3" s="19" t="s">
        <v>18</v>
      </c>
      <c r="F3" s="20" t="s">
        <v>18</v>
      </c>
      <c r="G3" s="21">
        <v>14101</v>
      </c>
      <c r="H3" s="21">
        <v>391</v>
      </c>
      <c r="I3" s="21">
        <f t="shared" ref="I3:I13" si="0">G3/H3</f>
        <v>36.063938618925832</v>
      </c>
      <c r="J3" s="22">
        <v>28</v>
      </c>
      <c r="K3" s="22">
        <v>1</v>
      </c>
      <c r="L3" s="19">
        <v>120044.76</v>
      </c>
      <c r="M3" s="21">
        <v>16003</v>
      </c>
      <c r="N3" s="23">
        <v>45051</v>
      </c>
      <c r="O3" s="30" t="s">
        <v>40</v>
      </c>
    </row>
    <row r="4" spans="1:18" s="24" customFormat="1" ht="25.9" customHeight="1" x14ac:dyDescent="0.2">
      <c r="A4" s="17">
        <v>2</v>
      </c>
      <c r="B4" s="17">
        <v>1</v>
      </c>
      <c r="C4" s="18" t="s">
        <v>50</v>
      </c>
      <c r="D4" s="19">
        <v>26598.080000000002</v>
      </c>
      <c r="E4" s="19">
        <v>74154.19</v>
      </c>
      <c r="F4" s="20">
        <f>(D4-E4)/E4</f>
        <v>-0.64131386237244314</v>
      </c>
      <c r="G4" s="21">
        <v>5315</v>
      </c>
      <c r="H4" s="21">
        <v>296</v>
      </c>
      <c r="I4" s="22">
        <f t="shared" si="0"/>
        <v>17.956081081081081</v>
      </c>
      <c r="J4" s="22">
        <v>14</v>
      </c>
      <c r="K4" s="22">
        <v>3</v>
      </c>
      <c r="L4" s="19">
        <v>199234.19000000003</v>
      </c>
      <c r="M4" s="21">
        <v>39431</v>
      </c>
      <c r="N4" s="23">
        <v>45037</v>
      </c>
      <c r="O4" s="30" t="s">
        <v>51</v>
      </c>
    </row>
    <row r="5" spans="1:18" s="24" customFormat="1" ht="25.9" customHeight="1" x14ac:dyDescent="0.2">
      <c r="A5" s="17">
        <v>3</v>
      </c>
      <c r="B5" s="17">
        <v>2</v>
      </c>
      <c r="C5" s="18" t="s">
        <v>11</v>
      </c>
      <c r="D5" s="19">
        <v>24873.18</v>
      </c>
      <c r="E5" s="19">
        <v>69853.52</v>
      </c>
      <c r="F5" s="20">
        <f>(D5-E5)/E5</f>
        <v>-0.64392374213926518</v>
      </c>
      <c r="G5" s="21">
        <v>4607</v>
      </c>
      <c r="H5" s="21">
        <v>227</v>
      </c>
      <c r="I5" s="22">
        <f t="shared" si="0"/>
        <v>20.295154185022028</v>
      </c>
      <c r="J5" s="22">
        <v>19</v>
      </c>
      <c r="K5" s="22">
        <v>5</v>
      </c>
      <c r="L5" s="19">
        <v>470259.95</v>
      </c>
      <c r="M5" s="21">
        <v>84790</v>
      </c>
      <c r="N5" s="23">
        <v>45023</v>
      </c>
      <c r="O5" s="30" t="s">
        <v>61</v>
      </c>
      <c r="R5" s="17"/>
    </row>
    <row r="6" spans="1:18" s="24" customFormat="1" ht="25.9" customHeight="1" x14ac:dyDescent="0.2">
      <c r="A6" s="17">
        <v>4</v>
      </c>
      <c r="B6" s="6" t="s">
        <v>115</v>
      </c>
      <c r="C6" s="13" t="s">
        <v>116</v>
      </c>
      <c r="D6" s="8">
        <v>12528.33</v>
      </c>
      <c r="E6" s="8" t="s">
        <v>18</v>
      </c>
      <c r="F6" s="9" t="s">
        <v>18</v>
      </c>
      <c r="G6" s="10">
        <v>2726</v>
      </c>
      <c r="H6" s="10">
        <v>139</v>
      </c>
      <c r="I6" s="10">
        <f t="shared" si="0"/>
        <v>19.611510791366907</v>
      </c>
      <c r="J6" s="11">
        <v>16</v>
      </c>
      <c r="K6" s="11">
        <v>1</v>
      </c>
      <c r="L6" s="8">
        <v>12528.33</v>
      </c>
      <c r="M6" s="10">
        <v>2726</v>
      </c>
      <c r="N6" s="12">
        <v>45051</v>
      </c>
      <c r="O6" s="31" t="s">
        <v>117</v>
      </c>
      <c r="R6" s="17"/>
    </row>
    <row r="7" spans="1:18" s="24" customFormat="1" ht="25.9" customHeight="1" x14ac:dyDescent="0.2">
      <c r="A7" s="17">
        <v>5</v>
      </c>
      <c r="B7" s="17">
        <v>4</v>
      </c>
      <c r="C7" s="25" t="s">
        <v>53</v>
      </c>
      <c r="D7" s="28">
        <v>10332.59</v>
      </c>
      <c r="E7" s="28">
        <v>23485.11</v>
      </c>
      <c r="F7" s="20">
        <f>(D7-E7)/E7</f>
        <v>-0.56003655081879544</v>
      </c>
      <c r="G7" s="29">
        <v>1455</v>
      </c>
      <c r="H7" s="21">
        <v>90</v>
      </c>
      <c r="I7" s="10">
        <f t="shared" si="0"/>
        <v>16.166666666666668</v>
      </c>
      <c r="J7" s="22">
        <v>8</v>
      </c>
      <c r="K7" s="22">
        <v>3</v>
      </c>
      <c r="L7" s="28">
        <v>67148.23</v>
      </c>
      <c r="M7" s="29">
        <v>9612</v>
      </c>
      <c r="N7" s="23">
        <v>45037</v>
      </c>
      <c r="O7" s="30" t="s">
        <v>14</v>
      </c>
      <c r="R7" s="17"/>
    </row>
    <row r="8" spans="1:18" s="24" customFormat="1" ht="25.9" customHeight="1" x14ac:dyDescent="0.2">
      <c r="A8" s="17">
        <v>6</v>
      </c>
      <c r="B8" s="17">
        <v>3</v>
      </c>
      <c r="C8" s="18" t="s">
        <v>60</v>
      </c>
      <c r="D8" s="19">
        <v>9180.89</v>
      </c>
      <c r="E8" s="19">
        <v>29938.82</v>
      </c>
      <c r="F8" s="20">
        <f>(D8-E8)/E8</f>
        <v>-0.69334496149146829</v>
      </c>
      <c r="G8" s="21">
        <v>1405</v>
      </c>
      <c r="H8" s="21">
        <v>112</v>
      </c>
      <c r="I8" s="10">
        <f t="shared" si="0"/>
        <v>12.544642857142858</v>
      </c>
      <c r="J8" s="22">
        <v>12</v>
      </c>
      <c r="K8" s="22">
        <v>2</v>
      </c>
      <c r="L8" s="19">
        <v>40701.480000000003</v>
      </c>
      <c r="M8" s="21">
        <v>5588</v>
      </c>
      <c r="N8" s="23">
        <v>45044</v>
      </c>
      <c r="O8" s="30" t="s">
        <v>13</v>
      </c>
      <c r="R8" s="17"/>
    </row>
    <row r="9" spans="1:18" s="24" customFormat="1" ht="25.9" customHeight="1" x14ac:dyDescent="0.2">
      <c r="A9" s="17">
        <v>7</v>
      </c>
      <c r="B9" s="6" t="s">
        <v>57</v>
      </c>
      <c r="C9" s="13" t="s">
        <v>111</v>
      </c>
      <c r="D9" s="8">
        <v>7802.22</v>
      </c>
      <c r="E9" s="8" t="s">
        <v>18</v>
      </c>
      <c r="F9" s="9" t="s">
        <v>18</v>
      </c>
      <c r="G9" s="10">
        <v>968</v>
      </c>
      <c r="H9" s="10">
        <v>8</v>
      </c>
      <c r="I9" s="10">
        <f t="shared" si="0"/>
        <v>121</v>
      </c>
      <c r="J9" s="11">
        <v>8</v>
      </c>
      <c r="K9" s="11">
        <v>0</v>
      </c>
      <c r="L9" s="8">
        <v>7802.22</v>
      </c>
      <c r="M9" s="10">
        <v>968</v>
      </c>
      <c r="N9" s="12" t="s">
        <v>59</v>
      </c>
      <c r="O9" s="36" t="s">
        <v>12</v>
      </c>
      <c r="R9" s="17"/>
    </row>
    <row r="10" spans="1:18" s="24" customFormat="1" ht="25.9" customHeight="1" x14ac:dyDescent="0.2">
      <c r="A10" s="17">
        <v>8</v>
      </c>
      <c r="B10" s="17">
        <v>5</v>
      </c>
      <c r="C10" s="25" t="s">
        <v>90</v>
      </c>
      <c r="D10" s="19">
        <v>7122.05</v>
      </c>
      <c r="E10" s="19">
        <v>20079.349999999999</v>
      </c>
      <c r="F10" s="20">
        <f>(D10-E10)/E10</f>
        <v>-0.64530475339092153</v>
      </c>
      <c r="G10" s="21">
        <v>1485</v>
      </c>
      <c r="H10" s="21">
        <v>116</v>
      </c>
      <c r="I10" s="10">
        <f t="shared" si="0"/>
        <v>12.801724137931034</v>
      </c>
      <c r="J10" s="22">
        <v>18</v>
      </c>
      <c r="K10" s="22">
        <v>2</v>
      </c>
      <c r="L10" s="19">
        <v>27201.399999999998</v>
      </c>
      <c r="M10" s="21">
        <v>5352</v>
      </c>
      <c r="N10" s="23">
        <v>45044</v>
      </c>
      <c r="O10" s="36" t="s">
        <v>16</v>
      </c>
      <c r="R10" s="17"/>
    </row>
    <row r="11" spans="1:18" s="24" customFormat="1" ht="25.9" customHeight="1" x14ac:dyDescent="0.2">
      <c r="A11" s="17">
        <v>9</v>
      </c>
      <c r="B11" s="17">
        <v>7</v>
      </c>
      <c r="C11" s="18" t="s">
        <v>19</v>
      </c>
      <c r="D11" s="19">
        <v>5916.14</v>
      </c>
      <c r="E11" s="19">
        <v>13550.13</v>
      </c>
      <c r="F11" s="20">
        <f>(D11-E11)/E11</f>
        <v>-0.56338869073580844</v>
      </c>
      <c r="G11" s="21">
        <v>823</v>
      </c>
      <c r="H11" s="21">
        <v>50</v>
      </c>
      <c r="I11" s="10">
        <f t="shared" si="0"/>
        <v>16.46</v>
      </c>
      <c r="J11" s="22">
        <v>8</v>
      </c>
      <c r="K11" s="22">
        <v>5</v>
      </c>
      <c r="L11" s="19">
        <v>132145.04</v>
      </c>
      <c r="M11" s="21">
        <v>19055</v>
      </c>
      <c r="N11" s="23">
        <v>45023</v>
      </c>
      <c r="O11" s="30" t="s">
        <v>12</v>
      </c>
      <c r="R11" s="17"/>
    </row>
    <row r="12" spans="1:18" s="24" customFormat="1" ht="25.9" customHeight="1" x14ac:dyDescent="0.2">
      <c r="A12" s="17">
        <v>10</v>
      </c>
      <c r="B12" s="17">
        <v>8</v>
      </c>
      <c r="C12" s="18" t="s">
        <v>20</v>
      </c>
      <c r="D12" s="19">
        <v>4488.45</v>
      </c>
      <c r="E12" s="19">
        <v>8430.66</v>
      </c>
      <c r="F12" s="20">
        <f>(D12-E12)/E12</f>
        <v>-0.46760395983232633</v>
      </c>
      <c r="G12" s="21">
        <v>621</v>
      </c>
      <c r="H12" s="21">
        <v>41</v>
      </c>
      <c r="I12" s="10">
        <f t="shared" si="0"/>
        <v>15.146341463414634</v>
      </c>
      <c r="J12" s="22">
        <v>6</v>
      </c>
      <c r="K12" s="22">
        <v>7</v>
      </c>
      <c r="L12" s="19">
        <v>321052.69</v>
      </c>
      <c r="M12" s="21">
        <v>44031</v>
      </c>
      <c r="N12" s="23">
        <v>45009</v>
      </c>
      <c r="O12" s="30" t="s">
        <v>13</v>
      </c>
      <c r="R12" s="17"/>
    </row>
    <row r="13" spans="1:18" s="24" customFormat="1" ht="25.9" customHeight="1" x14ac:dyDescent="0.2">
      <c r="A13" s="17">
        <v>11</v>
      </c>
      <c r="B13" s="17">
        <v>9</v>
      </c>
      <c r="C13" s="18" t="s">
        <v>21</v>
      </c>
      <c r="D13" s="19">
        <v>3477.22</v>
      </c>
      <c r="E13" s="19">
        <v>7280.78</v>
      </c>
      <c r="F13" s="20">
        <f>(D13-E13)/E13</f>
        <v>-0.52241106035342366</v>
      </c>
      <c r="G13" s="21">
        <v>555</v>
      </c>
      <c r="H13" s="21">
        <v>33</v>
      </c>
      <c r="I13" s="22">
        <f t="shared" si="0"/>
        <v>16.818181818181817</v>
      </c>
      <c r="J13" s="22">
        <v>7</v>
      </c>
      <c r="K13" s="22">
        <v>4</v>
      </c>
      <c r="L13" s="19">
        <v>52698.75</v>
      </c>
      <c r="M13" s="21">
        <v>8422</v>
      </c>
      <c r="N13" s="23">
        <v>45030</v>
      </c>
      <c r="O13" s="30" t="s">
        <v>14</v>
      </c>
      <c r="R13" s="17"/>
    </row>
    <row r="14" spans="1:18" s="24" customFormat="1" ht="25.9" customHeight="1" x14ac:dyDescent="0.2">
      <c r="A14" s="17">
        <v>12</v>
      </c>
      <c r="B14" s="17">
        <v>11</v>
      </c>
      <c r="C14" s="18" t="s">
        <v>22</v>
      </c>
      <c r="D14" s="19">
        <v>3104</v>
      </c>
      <c r="E14" s="19">
        <v>6095</v>
      </c>
      <c r="F14" s="20">
        <f>(D14-E14)/E14</f>
        <v>-0.49073010664479083</v>
      </c>
      <c r="G14" s="21">
        <v>464</v>
      </c>
      <c r="H14" s="21" t="s">
        <v>18</v>
      </c>
      <c r="I14" s="22" t="s">
        <v>18</v>
      </c>
      <c r="J14" s="22">
        <v>9</v>
      </c>
      <c r="K14" s="22">
        <v>4</v>
      </c>
      <c r="L14" s="19">
        <v>52336</v>
      </c>
      <c r="M14" s="21">
        <v>7914</v>
      </c>
      <c r="N14" s="23">
        <v>45030</v>
      </c>
      <c r="O14" s="30" t="s">
        <v>15</v>
      </c>
      <c r="R14" s="17"/>
    </row>
    <row r="15" spans="1:18" s="24" customFormat="1" ht="25.9" customHeight="1" x14ac:dyDescent="0.2">
      <c r="A15" s="17">
        <v>13</v>
      </c>
      <c r="B15" s="17" t="s">
        <v>31</v>
      </c>
      <c r="C15" s="25" t="s">
        <v>102</v>
      </c>
      <c r="D15" s="19">
        <v>2647</v>
      </c>
      <c r="E15" s="19" t="s">
        <v>18</v>
      </c>
      <c r="F15" s="20" t="s">
        <v>18</v>
      </c>
      <c r="G15" s="21">
        <v>425</v>
      </c>
      <c r="H15" s="21">
        <v>58</v>
      </c>
      <c r="I15" s="22">
        <f>G15/H15</f>
        <v>7.3275862068965516</v>
      </c>
      <c r="J15" s="22">
        <v>14</v>
      </c>
      <c r="K15" s="17">
        <v>1</v>
      </c>
      <c r="L15" s="19">
        <v>2926</v>
      </c>
      <c r="M15" s="21">
        <v>518</v>
      </c>
      <c r="N15" s="23">
        <v>45051</v>
      </c>
      <c r="O15" s="36" t="s">
        <v>68</v>
      </c>
      <c r="R15" s="17"/>
    </row>
    <row r="16" spans="1:18" s="24" customFormat="1" ht="25.9" customHeight="1" x14ac:dyDescent="0.2">
      <c r="A16" s="17">
        <v>14</v>
      </c>
      <c r="B16" s="6" t="s">
        <v>31</v>
      </c>
      <c r="C16" s="13" t="s">
        <v>114</v>
      </c>
      <c r="D16" s="8">
        <v>2202.56</v>
      </c>
      <c r="E16" s="8" t="s">
        <v>18</v>
      </c>
      <c r="F16" s="9" t="s">
        <v>18</v>
      </c>
      <c r="G16" s="10">
        <v>416</v>
      </c>
      <c r="H16" s="10" t="s">
        <v>18</v>
      </c>
      <c r="I16" s="10" t="s">
        <v>18</v>
      </c>
      <c r="J16" s="11" t="s">
        <v>18</v>
      </c>
      <c r="K16" s="11">
        <v>1</v>
      </c>
      <c r="L16" s="8">
        <v>2202.56</v>
      </c>
      <c r="M16" s="10">
        <v>416</v>
      </c>
      <c r="N16" s="12">
        <v>45051</v>
      </c>
      <c r="O16" s="34" t="s">
        <v>83</v>
      </c>
      <c r="R16" s="17"/>
    </row>
    <row r="17" spans="1:19" s="24" customFormat="1" ht="25.9" customHeight="1" x14ac:dyDescent="0.2">
      <c r="A17" s="17">
        <v>15</v>
      </c>
      <c r="B17" s="17">
        <v>10</v>
      </c>
      <c r="C17" s="18" t="s">
        <v>58</v>
      </c>
      <c r="D17" s="19">
        <v>1683.9</v>
      </c>
      <c r="E17" s="19">
        <v>6939.87</v>
      </c>
      <c r="F17" s="20">
        <f>(D17-E17)/E17</f>
        <v>-0.75735856723540917</v>
      </c>
      <c r="G17" s="21">
        <v>300</v>
      </c>
      <c r="H17" s="21">
        <v>27</v>
      </c>
      <c r="I17" s="22">
        <f>G17/H17</f>
        <v>11.111111111111111</v>
      </c>
      <c r="J17" s="22">
        <v>8</v>
      </c>
      <c r="K17" s="22">
        <v>2</v>
      </c>
      <c r="L17" s="19">
        <v>9392.27</v>
      </c>
      <c r="M17" s="21">
        <v>1535</v>
      </c>
      <c r="N17" s="23">
        <v>45044</v>
      </c>
      <c r="O17" s="30" t="s">
        <v>16</v>
      </c>
      <c r="R17" s="17"/>
    </row>
    <row r="18" spans="1:19" s="24" customFormat="1" ht="25.9" customHeight="1" x14ac:dyDescent="0.2">
      <c r="A18" s="17">
        <v>16</v>
      </c>
      <c r="B18" s="17">
        <v>23</v>
      </c>
      <c r="C18" s="25" t="s">
        <v>66</v>
      </c>
      <c r="D18" s="28">
        <v>1237</v>
      </c>
      <c r="E18" s="28">
        <v>569</v>
      </c>
      <c r="F18" s="20">
        <f>(D18-E18)/E18</f>
        <v>1.1739894551845342</v>
      </c>
      <c r="G18" s="21">
        <v>222</v>
      </c>
      <c r="H18" s="21">
        <v>4</v>
      </c>
      <c r="I18" s="22">
        <f>G18/H18</f>
        <v>55.5</v>
      </c>
      <c r="J18" s="22">
        <v>2</v>
      </c>
      <c r="K18" s="22">
        <v>2</v>
      </c>
      <c r="L18" s="19">
        <v>14406.27</v>
      </c>
      <c r="M18" s="21">
        <v>2233</v>
      </c>
      <c r="N18" s="23">
        <v>45047</v>
      </c>
      <c r="O18" s="30" t="s">
        <v>61</v>
      </c>
      <c r="R18" s="17"/>
    </row>
    <row r="19" spans="1:19" s="24" customFormat="1" ht="25.9" customHeight="1" x14ac:dyDescent="0.2">
      <c r="A19" s="17">
        <v>17</v>
      </c>
      <c r="B19" s="17">
        <v>12</v>
      </c>
      <c r="C19" s="18" t="s">
        <v>56</v>
      </c>
      <c r="D19" s="19">
        <v>1225</v>
      </c>
      <c r="E19" s="19">
        <v>5782</v>
      </c>
      <c r="F19" s="20">
        <f>(D19-E19)/E19</f>
        <v>-0.78813559322033899</v>
      </c>
      <c r="G19" s="21">
        <v>337</v>
      </c>
      <c r="H19" s="21" t="s">
        <v>18</v>
      </c>
      <c r="I19" s="22" t="s">
        <v>18</v>
      </c>
      <c r="J19" s="22">
        <v>7</v>
      </c>
      <c r="K19" s="22">
        <v>3</v>
      </c>
      <c r="L19" s="19">
        <v>13138</v>
      </c>
      <c r="M19" s="21">
        <v>2806</v>
      </c>
      <c r="N19" s="23">
        <v>45037</v>
      </c>
      <c r="O19" s="30" t="s">
        <v>30</v>
      </c>
      <c r="R19" s="17"/>
    </row>
    <row r="20" spans="1:19" s="24" customFormat="1" ht="25.9" customHeight="1" x14ac:dyDescent="0.2">
      <c r="A20" s="17">
        <v>18</v>
      </c>
      <c r="B20" s="17">
        <v>13</v>
      </c>
      <c r="C20" s="18" t="s">
        <v>26</v>
      </c>
      <c r="D20" s="19">
        <v>1214.6600000000001</v>
      </c>
      <c r="E20" s="19">
        <v>4702.51</v>
      </c>
      <c r="F20" s="20">
        <f>(D20-E20)/E20</f>
        <v>-0.74169964550846257</v>
      </c>
      <c r="G20" s="21">
        <v>196</v>
      </c>
      <c r="H20" s="21">
        <v>20</v>
      </c>
      <c r="I20" s="22">
        <f t="shared" ref="I20:I27" si="1">G20/H20</f>
        <v>9.8000000000000007</v>
      </c>
      <c r="J20" s="22">
        <v>2</v>
      </c>
      <c r="K20" s="22">
        <v>6</v>
      </c>
      <c r="L20" s="19">
        <v>67407.66</v>
      </c>
      <c r="M20" s="21">
        <v>10153</v>
      </c>
      <c r="N20" s="23">
        <v>45016</v>
      </c>
      <c r="O20" s="30" t="s">
        <v>121</v>
      </c>
      <c r="R20" s="17"/>
    </row>
    <row r="21" spans="1:19" s="24" customFormat="1" ht="25.9" customHeight="1" x14ac:dyDescent="0.2">
      <c r="A21" s="17">
        <v>19</v>
      </c>
      <c r="B21" s="17">
        <v>14</v>
      </c>
      <c r="C21" s="18" t="s">
        <v>23</v>
      </c>
      <c r="D21" s="19">
        <v>1173.52</v>
      </c>
      <c r="E21" s="19">
        <v>4599.01</v>
      </c>
      <c r="F21" s="20">
        <f>(D21-E21)/E21</f>
        <v>-0.74483203993903035</v>
      </c>
      <c r="G21" s="21">
        <v>192</v>
      </c>
      <c r="H21" s="21">
        <v>21</v>
      </c>
      <c r="I21" s="22">
        <f t="shared" si="1"/>
        <v>9.1428571428571423</v>
      </c>
      <c r="J21" s="22">
        <v>4</v>
      </c>
      <c r="K21" s="22">
        <v>4</v>
      </c>
      <c r="L21" s="19">
        <v>34884.44</v>
      </c>
      <c r="M21" s="21">
        <v>5462</v>
      </c>
      <c r="N21" s="23">
        <v>45030</v>
      </c>
      <c r="O21" s="30" t="s">
        <v>12</v>
      </c>
      <c r="R21" s="17"/>
    </row>
    <row r="22" spans="1:19" s="24" customFormat="1" ht="25.9" customHeight="1" x14ac:dyDescent="0.2">
      <c r="A22" s="17">
        <v>20</v>
      </c>
      <c r="B22" s="9" t="s">
        <v>18</v>
      </c>
      <c r="C22" s="13" t="s">
        <v>119</v>
      </c>
      <c r="D22" s="8">
        <v>1076</v>
      </c>
      <c r="E22" s="8" t="s">
        <v>18</v>
      </c>
      <c r="F22" s="9" t="s">
        <v>18</v>
      </c>
      <c r="G22" s="10">
        <v>415</v>
      </c>
      <c r="H22" s="10">
        <v>9</v>
      </c>
      <c r="I22" s="22">
        <f t="shared" si="1"/>
        <v>46.111111111111114</v>
      </c>
      <c r="J22" s="11">
        <v>2</v>
      </c>
      <c r="K22" s="9" t="s">
        <v>18</v>
      </c>
      <c r="L22" s="8">
        <v>4537.8</v>
      </c>
      <c r="M22" s="10">
        <v>1084</v>
      </c>
      <c r="N22" s="12">
        <v>44967</v>
      </c>
      <c r="O22" s="31" t="s">
        <v>117</v>
      </c>
      <c r="R22" s="17"/>
    </row>
    <row r="23" spans="1:19" s="27" customFormat="1" ht="25.9" customHeight="1" x14ac:dyDescent="0.15">
      <c r="A23" s="17">
        <v>21</v>
      </c>
      <c r="B23" s="17">
        <v>32</v>
      </c>
      <c r="C23" s="25" t="s">
        <v>79</v>
      </c>
      <c r="D23" s="19">
        <v>816.54000000000008</v>
      </c>
      <c r="E23" s="19">
        <v>182.9</v>
      </c>
      <c r="F23" s="20">
        <f>(D23-E23)/E23</f>
        <v>3.4644067796610174</v>
      </c>
      <c r="G23" s="21">
        <v>155</v>
      </c>
      <c r="H23" s="21">
        <v>6</v>
      </c>
      <c r="I23" s="22">
        <f t="shared" si="1"/>
        <v>25.833333333333332</v>
      </c>
      <c r="J23" s="22">
        <v>3</v>
      </c>
      <c r="K23" s="22">
        <v>7</v>
      </c>
      <c r="L23" s="19">
        <v>44490</v>
      </c>
      <c r="M23" s="21">
        <v>5137</v>
      </c>
      <c r="N23" s="23">
        <v>45012</v>
      </c>
      <c r="O23" s="36" t="s">
        <v>68</v>
      </c>
      <c r="R23" s="17"/>
      <c r="S23" s="24"/>
    </row>
    <row r="24" spans="1:19" s="27" customFormat="1" ht="25.9" customHeight="1" x14ac:dyDescent="0.15">
      <c r="A24" s="17">
        <v>22</v>
      </c>
      <c r="B24" s="17">
        <v>25</v>
      </c>
      <c r="C24" s="25" t="s">
        <v>67</v>
      </c>
      <c r="D24" s="28">
        <v>759.2</v>
      </c>
      <c r="E24" s="28">
        <v>445.1</v>
      </c>
      <c r="F24" s="20">
        <f>(D24-E24)/E24</f>
        <v>0.70568411592900471</v>
      </c>
      <c r="G24" s="29">
        <v>131</v>
      </c>
      <c r="H24" s="21">
        <v>8</v>
      </c>
      <c r="I24" s="22">
        <f t="shared" si="1"/>
        <v>16.375</v>
      </c>
      <c r="J24" s="22">
        <v>3</v>
      </c>
      <c r="K24" s="22">
        <v>7</v>
      </c>
      <c r="L24" s="28">
        <v>54297</v>
      </c>
      <c r="M24" s="29">
        <v>7157</v>
      </c>
      <c r="N24" s="23">
        <v>45012</v>
      </c>
      <c r="O24" s="36" t="s">
        <v>68</v>
      </c>
    </row>
    <row r="25" spans="1:19" s="27" customFormat="1" ht="25.9" customHeight="1" x14ac:dyDescent="0.15">
      <c r="A25" s="17">
        <v>23</v>
      </c>
      <c r="B25" s="17">
        <v>18</v>
      </c>
      <c r="C25" s="18" t="s">
        <v>36</v>
      </c>
      <c r="D25" s="19">
        <v>681.7</v>
      </c>
      <c r="E25" s="19">
        <v>1278.4000000000001</v>
      </c>
      <c r="F25" s="20">
        <f>(D25-E25)/E25</f>
        <v>-0.4667553191489362</v>
      </c>
      <c r="G25" s="21">
        <v>99</v>
      </c>
      <c r="H25" s="21">
        <v>11</v>
      </c>
      <c r="I25" s="22">
        <f t="shared" si="1"/>
        <v>9</v>
      </c>
      <c r="J25" s="22">
        <v>1</v>
      </c>
      <c r="K25" s="22">
        <v>10</v>
      </c>
      <c r="L25" s="19">
        <v>227769.02000000005</v>
      </c>
      <c r="M25" s="21">
        <v>35683</v>
      </c>
      <c r="N25" s="23">
        <v>44988</v>
      </c>
      <c r="O25" s="30" t="s">
        <v>39</v>
      </c>
    </row>
    <row r="26" spans="1:19" s="27" customFormat="1" ht="25.9" customHeight="1" x14ac:dyDescent="0.15">
      <c r="A26" s="17">
        <v>24</v>
      </c>
      <c r="B26" s="17">
        <v>40</v>
      </c>
      <c r="C26" s="25" t="s">
        <v>80</v>
      </c>
      <c r="D26" s="19">
        <v>661.1</v>
      </c>
      <c r="E26" s="19">
        <v>72.099999999999994</v>
      </c>
      <c r="F26" s="20">
        <f>(D26-E26)/E26</f>
        <v>8.1692094313453545</v>
      </c>
      <c r="G26" s="21">
        <v>107</v>
      </c>
      <c r="H26" s="21">
        <v>5</v>
      </c>
      <c r="I26" s="22">
        <f t="shared" si="1"/>
        <v>21.4</v>
      </c>
      <c r="J26" s="22">
        <v>3</v>
      </c>
      <c r="K26" s="22">
        <v>7</v>
      </c>
      <c r="L26" s="19">
        <v>9283</v>
      </c>
      <c r="M26" s="21">
        <v>1692</v>
      </c>
      <c r="N26" s="23">
        <v>45012</v>
      </c>
      <c r="O26" s="36" t="s">
        <v>68</v>
      </c>
    </row>
    <row r="27" spans="1:19" s="27" customFormat="1" ht="25.9" customHeight="1" x14ac:dyDescent="0.15">
      <c r="A27" s="17">
        <v>25</v>
      </c>
      <c r="B27" s="6" t="s">
        <v>31</v>
      </c>
      <c r="C27" s="13" t="s">
        <v>110</v>
      </c>
      <c r="D27" s="8">
        <v>645.95000000000005</v>
      </c>
      <c r="E27" s="8" t="s">
        <v>18</v>
      </c>
      <c r="F27" s="9" t="s">
        <v>18</v>
      </c>
      <c r="G27" s="10">
        <v>118</v>
      </c>
      <c r="H27" s="10">
        <v>16</v>
      </c>
      <c r="I27" s="22">
        <f t="shared" si="1"/>
        <v>7.375</v>
      </c>
      <c r="J27" s="11">
        <v>6</v>
      </c>
      <c r="K27" s="11">
        <v>1</v>
      </c>
      <c r="L27" s="8">
        <v>645.95000000000005</v>
      </c>
      <c r="M27" s="10">
        <v>118</v>
      </c>
      <c r="N27" s="12">
        <v>45052</v>
      </c>
      <c r="O27" s="31" t="s">
        <v>30</v>
      </c>
    </row>
    <row r="28" spans="1:19" s="27" customFormat="1" ht="25.9" customHeight="1" x14ac:dyDescent="0.15">
      <c r="A28" s="17">
        <v>26</v>
      </c>
      <c r="B28" s="6" t="s">
        <v>31</v>
      </c>
      <c r="C28" s="13" t="s">
        <v>107</v>
      </c>
      <c r="D28" s="8">
        <v>594.53</v>
      </c>
      <c r="E28" s="8" t="s">
        <v>18</v>
      </c>
      <c r="F28" s="9" t="s">
        <v>18</v>
      </c>
      <c r="G28" s="10">
        <v>93</v>
      </c>
      <c r="H28" s="10" t="s">
        <v>18</v>
      </c>
      <c r="I28" s="10" t="s">
        <v>18</v>
      </c>
      <c r="J28" s="11">
        <v>2</v>
      </c>
      <c r="K28" s="11">
        <v>1</v>
      </c>
      <c r="L28" s="8">
        <v>594.53</v>
      </c>
      <c r="M28" s="10">
        <v>93</v>
      </c>
      <c r="N28" s="12">
        <v>45051</v>
      </c>
      <c r="O28" s="31" t="s">
        <v>100</v>
      </c>
    </row>
    <row r="29" spans="1:19" s="27" customFormat="1" ht="25.9" customHeight="1" x14ac:dyDescent="0.15">
      <c r="A29" s="17">
        <v>27</v>
      </c>
      <c r="B29" s="17">
        <v>19</v>
      </c>
      <c r="C29" s="25" t="s">
        <v>94</v>
      </c>
      <c r="D29" s="19">
        <v>524.70000000000005</v>
      </c>
      <c r="E29" s="19">
        <v>1246.2</v>
      </c>
      <c r="F29" s="20">
        <f>(D29-E29)/E29</f>
        <v>-0.57896003851709199</v>
      </c>
      <c r="G29" s="21">
        <v>91</v>
      </c>
      <c r="H29" s="21">
        <v>12</v>
      </c>
      <c r="I29" s="22">
        <f t="shared" ref="I29:I38" si="2">G29/H29</f>
        <v>7.583333333333333</v>
      </c>
      <c r="J29" s="22">
        <v>6</v>
      </c>
      <c r="K29" s="22">
        <v>3</v>
      </c>
      <c r="L29" s="19">
        <v>2243.1000000000004</v>
      </c>
      <c r="M29" s="21">
        <v>393</v>
      </c>
      <c r="N29" s="23">
        <v>45043</v>
      </c>
      <c r="O29" s="36" t="s">
        <v>95</v>
      </c>
    </row>
    <row r="30" spans="1:19" s="27" customFormat="1" ht="25.9" customHeight="1" x14ac:dyDescent="0.15">
      <c r="A30" s="17">
        <v>28</v>
      </c>
      <c r="B30" s="9" t="s">
        <v>18</v>
      </c>
      <c r="C30" s="13" t="s">
        <v>118</v>
      </c>
      <c r="D30" s="8">
        <v>524</v>
      </c>
      <c r="E30" s="8" t="s">
        <v>18</v>
      </c>
      <c r="F30" s="9" t="s">
        <v>18</v>
      </c>
      <c r="G30" s="10">
        <v>144</v>
      </c>
      <c r="H30" s="10">
        <v>2</v>
      </c>
      <c r="I30" s="10">
        <f t="shared" si="2"/>
        <v>72</v>
      </c>
      <c r="J30" s="11">
        <v>1</v>
      </c>
      <c r="K30" s="9" t="s">
        <v>18</v>
      </c>
      <c r="L30" s="8">
        <v>2830.94</v>
      </c>
      <c r="M30" s="10">
        <v>627</v>
      </c>
      <c r="N30" s="12">
        <v>45016</v>
      </c>
      <c r="O30" s="31" t="s">
        <v>117</v>
      </c>
    </row>
    <row r="31" spans="1:19" s="27" customFormat="1" ht="25.9" customHeight="1" x14ac:dyDescent="0.15">
      <c r="A31" s="17">
        <v>29</v>
      </c>
      <c r="B31" s="6" t="s">
        <v>57</v>
      </c>
      <c r="C31" s="13" t="s">
        <v>112</v>
      </c>
      <c r="D31" s="8">
        <v>509.48</v>
      </c>
      <c r="E31" s="8" t="s">
        <v>18</v>
      </c>
      <c r="F31" s="9" t="s">
        <v>18</v>
      </c>
      <c r="G31" s="10">
        <v>81</v>
      </c>
      <c r="H31" s="10">
        <v>6</v>
      </c>
      <c r="I31" s="10">
        <f t="shared" si="2"/>
        <v>13.5</v>
      </c>
      <c r="J31" s="11">
        <v>6</v>
      </c>
      <c r="K31" s="11">
        <v>0</v>
      </c>
      <c r="L31" s="8">
        <v>509.48</v>
      </c>
      <c r="M31" s="10">
        <v>81</v>
      </c>
      <c r="N31" s="12" t="s">
        <v>59</v>
      </c>
      <c r="O31" s="34" t="s">
        <v>13</v>
      </c>
    </row>
    <row r="32" spans="1:19" s="27" customFormat="1" ht="25.9" customHeight="1" x14ac:dyDescent="0.15">
      <c r="A32" s="17">
        <v>30</v>
      </c>
      <c r="B32" s="17">
        <v>21</v>
      </c>
      <c r="C32" s="18" t="s">
        <v>41</v>
      </c>
      <c r="D32" s="19">
        <v>312.16000000000003</v>
      </c>
      <c r="E32" s="19">
        <v>979.58</v>
      </c>
      <c r="F32" s="20">
        <f t="shared" ref="F32:F39" si="3">(D32-E32)/E32</f>
        <v>-0.68133281610486129</v>
      </c>
      <c r="G32" s="21">
        <v>45</v>
      </c>
      <c r="H32" s="21">
        <v>4</v>
      </c>
      <c r="I32" s="10">
        <f t="shared" si="2"/>
        <v>11.25</v>
      </c>
      <c r="J32" s="22">
        <v>2</v>
      </c>
      <c r="K32" s="22">
        <v>4</v>
      </c>
      <c r="L32" s="19">
        <v>8531.85</v>
      </c>
      <c r="M32" s="21">
        <v>1396</v>
      </c>
      <c r="N32" s="23">
        <v>45030</v>
      </c>
      <c r="O32" s="30" t="s">
        <v>46</v>
      </c>
    </row>
    <row r="33" spans="1:15" s="27" customFormat="1" ht="25.9" customHeight="1" x14ac:dyDescent="0.15">
      <c r="A33" s="17">
        <v>31</v>
      </c>
      <c r="B33" s="17">
        <v>34</v>
      </c>
      <c r="C33" s="18" t="s">
        <v>106</v>
      </c>
      <c r="D33" s="19">
        <v>312</v>
      </c>
      <c r="E33" s="19">
        <v>140.4</v>
      </c>
      <c r="F33" s="20">
        <f t="shared" si="3"/>
        <v>1.2222222222222221</v>
      </c>
      <c r="G33" s="21">
        <v>58</v>
      </c>
      <c r="H33" s="21">
        <v>3</v>
      </c>
      <c r="I33" s="10">
        <f t="shared" si="2"/>
        <v>19.333333333333332</v>
      </c>
      <c r="J33" s="22">
        <v>3</v>
      </c>
      <c r="K33" s="9" t="s">
        <v>18</v>
      </c>
      <c r="L33" s="19">
        <v>39999.880000000005</v>
      </c>
      <c r="M33" s="21">
        <v>6788</v>
      </c>
      <c r="N33" s="23">
        <v>44678</v>
      </c>
      <c r="O33" s="30" t="s">
        <v>16</v>
      </c>
    </row>
    <row r="34" spans="1:15" s="27" customFormat="1" ht="25.9" customHeight="1" x14ac:dyDescent="0.15">
      <c r="A34" s="17">
        <v>32</v>
      </c>
      <c r="B34" s="17">
        <v>17</v>
      </c>
      <c r="C34" s="25" t="s">
        <v>43</v>
      </c>
      <c r="D34" s="19">
        <v>277.7</v>
      </c>
      <c r="E34" s="19">
        <v>2159</v>
      </c>
      <c r="F34" s="20">
        <f t="shared" si="3"/>
        <v>-0.87137563686892072</v>
      </c>
      <c r="G34" s="21">
        <v>43</v>
      </c>
      <c r="H34" s="21">
        <v>3</v>
      </c>
      <c r="I34" s="21">
        <f t="shared" si="2"/>
        <v>14.333333333333334</v>
      </c>
      <c r="J34" s="22">
        <v>2</v>
      </c>
      <c r="K34" s="22">
        <v>11</v>
      </c>
      <c r="L34" s="19">
        <v>129454.68</v>
      </c>
      <c r="M34" s="21">
        <v>20310</v>
      </c>
      <c r="N34" s="23">
        <v>44981</v>
      </c>
      <c r="O34" s="30" t="s">
        <v>17</v>
      </c>
    </row>
    <row r="35" spans="1:15" s="27" customFormat="1" ht="25.9" customHeight="1" x14ac:dyDescent="0.15">
      <c r="A35" s="17">
        <v>33</v>
      </c>
      <c r="B35" s="17">
        <v>16</v>
      </c>
      <c r="C35" s="18" t="s">
        <v>52</v>
      </c>
      <c r="D35" s="28">
        <v>249.04</v>
      </c>
      <c r="E35" s="28">
        <v>2348.75</v>
      </c>
      <c r="F35" s="20">
        <f t="shared" si="3"/>
        <v>-0.89396913251729648</v>
      </c>
      <c r="G35" s="29">
        <v>39</v>
      </c>
      <c r="H35" s="21">
        <v>7</v>
      </c>
      <c r="I35" s="10">
        <f t="shared" si="2"/>
        <v>5.5714285714285712</v>
      </c>
      <c r="J35" s="22">
        <v>2</v>
      </c>
      <c r="K35" s="22">
        <v>3</v>
      </c>
      <c r="L35" s="28">
        <v>7674.4</v>
      </c>
      <c r="M35" s="29">
        <v>1258</v>
      </c>
      <c r="N35" s="23">
        <v>45037</v>
      </c>
      <c r="O35" s="30" t="s">
        <v>16</v>
      </c>
    </row>
    <row r="36" spans="1:15" ht="25.9" customHeight="1" x14ac:dyDescent="0.15">
      <c r="A36" s="17">
        <v>34</v>
      </c>
      <c r="B36" s="17">
        <v>24</v>
      </c>
      <c r="C36" s="18" t="s">
        <v>25</v>
      </c>
      <c r="D36" s="19">
        <v>224.32</v>
      </c>
      <c r="E36" s="19">
        <v>473.79</v>
      </c>
      <c r="F36" s="20">
        <f t="shared" si="3"/>
        <v>-0.52654129466641342</v>
      </c>
      <c r="G36" s="21">
        <v>32</v>
      </c>
      <c r="H36" s="21">
        <v>2</v>
      </c>
      <c r="I36" s="10">
        <f t="shared" si="2"/>
        <v>16</v>
      </c>
      <c r="J36" s="22">
        <v>1</v>
      </c>
      <c r="K36" s="22">
        <v>5</v>
      </c>
      <c r="L36" s="19">
        <v>33742.620000000003</v>
      </c>
      <c r="M36" s="21">
        <v>5143</v>
      </c>
      <c r="N36" s="23">
        <v>45023</v>
      </c>
      <c r="O36" s="30" t="s">
        <v>16</v>
      </c>
    </row>
    <row r="37" spans="1:15" ht="25.9" customHeight="1" x14ac:dyDescent="0.15">
      <c r="A37" s="17">
        <v>35</v>
      </c>
      <c r="B37" s="17">
        <v>28</v>
      </c>
      <c r="C37" s="18" t="s">
        <v>35</v>
      </c>
      <c r="D37" s="19">
        <v>212.8</v>
      </c>
      <c r="E37" s="19">
        <v>302.10000000000002</v>
      </c>
      <c r="F37" s="20">
        <f t="shared" si="3"/>
        <v>-0.29559748427672955</v>
      </c>
      <c r="G37" s="21">
        <v>69</v>
      </c>
      <c r="H37" s="21">
        <v>4</v>
      </c>
      <c r="I37" s="10">
        <f t="shared" si="2"/>
        <v>17.25</v>
      </c>
      <c r="J37" s="22">
        <v>3</v>
      </c>
      <c r="K37" s="22">
        <v>4</v>
      </c>
      <c r="L37" s="19">
        <v>1279.5</v>
      </c>
      <c r="M37" s="21">
        <v>279</v>
      </c>
      <c r="N37" s="23">
        <v>45030</v>
      </c>
      <c r="O37" s="30" t="s">
        <v>30</v>
      </c>
    </row>
    <row r="38" spans="1:15" ht="25.9" customHeight="1" x14ac:dyDescent="0.15">
      <c r="A38" s="17">
        <v>36</v>
      </c>
      <c r="B38" s="17">
        <v>20</v>
      </c>
      <c r="C38" s="18" t="s">
        <v>37</v>
      </c>
      <c r="D38" s="19">
        <v>204.5</v>
      </c>
      <c r="E38" s="19">
        <v>1151</v>
      </c>
      <c r="F38" s="20">
        <f t="shared" si="3"/>
        <v>-0.82232841007819291</v>
      </c>
      <c r="G38" s="21">
        <v>30</v>
      </c>
      <c r="H38" s="21">
        <v>3</v>
      </c>
      <c r="I38" s="10">
        <f t="shared" si="2"/>
        <v>10</v>
      </c>
      <c r="J38" s="22">
        <v>2</v>
      </c>
      <c r="K38" s="22">
        <v>12</v>
      </c>
      <c r="L38" s="19">
        <v>276109.63</v>
      </c>
      <c r="M38" s="21">
        <v>46329</v>
      </c>
      <c r="N38" s="23">
        <v>44973</v>
      </c>
      <c r="O38" s="30" t="s">
        <v>13</v>
      </c>
    </row>
    <row r="39" spans="1:15" s="27" customFormat="1" ht="25.9" customHeight="1" x14ac:dyDescent="0.15">
      <c r="A39" s="17">
        <v>37</v>
      </c>
      <c r="B39" s="17">
        <v>15</v>
      </c>
      <c r="C39" s="13" t="s">
        <v>99</v>
      </c>
      <c r="D39" s="8">
        <v>192.55</v>
      </c>
      <c r="E39" s="8">
        <v>3752.95</v>
      </c>
      <c r="F39" s="20">
        <f t="shared" si="3"/>
        <v>-0.94869369429382211</v>
      </c>
      <c r="G39" s="10">
        <v>31</v>
      </c>
      <c r="H39" s="10" t="s">
        <v>18</v>
      </c>
      <c r="I39" s="10" t="s">
        <v>18</v>
      </c>
      <c r="J39" s="11">
        <v>2</v>
      </c>
      <c r="K39" s="11">
        <v>2</v>
      </c>
      <c r="L39" s="19">
        <v>3945.5</v>
      </c>
      <c r="M39" s="21">
        <v>624</v>
      </c>
      <c r="N39" s="12">
        <v>45044</v>
      </c>
      <c r="O39" s="34" t="s">
        <v>100</v>
      </c>
    </row>
    <row r="40" spans="1:15" ht="25.9" customHeight="1" x14ac:dyDescent="0.15">
      <c r="A40" s="17">
        <v>38</v>
      </c>
      <c r="B40" s="9" t="s">
        <v>18</v>
      </c>
      <c r="C40" s="13" t="s">
        <v>113</v>
      </c>
      <c r="D40" s="8">
        <v>85</v>
      </c>
      <c r="E40" s="8" t="s">
        <v>18</v>
      </c>
      <c r="F40" s="9" t="s">
        <v>18</v>
      </c>
      <c r="G40" s="10">
        <v>15</v>
      </c>
      <c r="H40" s="10">
        <v>1</v>
      </c>
      <c r="I40" s="10">
        <f t="shared" ref="I40:I48" si="4">G40/H40</f>
        <v>15</v>
      </c>
      <c r="J40" s="11">
        <v>1</v>
      </c>
      <c r="K40" s="9" t="s">
        <v>18</v>
      </c>
      <c r="L40" s="8">
        <v>14177.7</v>
      </c>
      <c r="M40" s="10">
        <v>2592</v>
      </c>
      <c r="N40" s="12">
        <v>44897</v>
      </c>
      <c r="O40" s="34" t="s">
        <v>89</v>
      </c>
    </row>
    <row r="41" spans="1:15" ht="25.9" customHeight="1" x14ac:dyDescent="0.15">
      <c r="A41" s="17">
        <v>39</v>
      </c>
      <c r="B41" s="17">
        <v>47</v>
      </c>
      <c r="C41" s="25" t="s">
        <v>81</v>
      </c>
      <c r="D41" s="19">
        <v>73.8</v>
      </c>
      <c r="E41" s="19">
        <v>13</v>
      </c>
      <c r="F41" s="20">
        <f>(D41-E41)/E41</f>
        <v>4.6769230769230763</v>
      </c>
      <c r="G41" s="21">
        <v>14</v>
      </c>
      <c r="H41" s="21">
        <v>1</v>
      </c>
      <c r="I41" s="10">
        <f t="shared" si="4"/>
        <v>14</v>
      </c>
      <c r="J41" s="22">
        <v>1</v>
      </c>
      <c r="K41" s="21" t="s">
        <v>18</v>
      </c>
      <c r="L41" s="19">
        <v>810</v>
      </c>
      <c r="M41" s="21">
        <v>164</v>
      </c>
      <c r="N41" s="23">
        <v>45012</v>
      </c>
      <c r="O41" s="36" t="s">
        <v>68</v>
      </c>
    </row>
    <row r="42" spans="1:15" ht="25.9" customHeight="1" x14ac:dyDescent="0.15">
      <c r="A42" s="17">
        <v>40</v>
      </c>
      <c r="B42" s="6">
        <v>30</v>
      </c>
      <c r="C42" s="13" t="s">
        <v>108</v>
      </c>
      <c r="D42" s="8">
        <v>69</v>
      </c>
      <c r="E42" s="8" t="s">
        <v>18</v>
      </c>
      <c r="F42" s="9" t="s">
        <v>18</v>
      </c>
      <c r="G42" s="10">
        <v>13</v>
      </c>
      <c r="H42" s="10">
        <v>1</v>
      </c>
      <c r="I42" s="10">
        <f t="shared" si="4"/>
        <v>13</v>
      </c>
      <c r="J42" s="11">
        <v>1</v>
      </c>
      <c r="K42" s="10" t="s">
        <v>18</v>
      </c>
      <c r="L42" s="19">
        <v>4776</v>
      </c>
      <c r="M42" s="21">
        <v>1014</v>
      </c>
      <c r="N42" s="12">
        <v>43987</v>
      </c>
      <c r="O42" s="34" t="s">
        <v>68</v>
      </c>
    </row>
    <row r="43" spans="1:15" ht="25.9" customHeight="1" x14ac:dyDescent="0.15">
      <c r="A43" s="17">
        <v>41</v>
      </c>
      <c r="B43" s="17">
        <v>46</v>
      </c>
      <c r="C43" s="25" t="s">
        <v>73</v>
      </c>
      <c r="D43" s="19">
        <v>65</v>
      </c>
      <c r="E43" s="19">
        <v>15</v>
      </c>
      <c r="F43" s="20">
        <f>(D43-E43)/E43</f>
        <v>3.3333333333333335</v>
      </c>
      <c r="G43" s="21">
        <v>11</v>
      </c>
      <c r="H43" s="21">
        <v>1</v>
      </c>
      <c r="I43" s="10">
        <f t="shared" si="4"/>
        <v>11</v>
      </c>
      <c r="J43" s="22">
        <v>1</v>
      </c>
      <c r="K43" s="17">
        <v>7</v>
      </c>
      <c r="L43" s="19">
        <v>1024</v>
      </c>
      <c r="M43" s="21">
        <v>204</v>
      </c>
      <c r="N43" s="23">
        <v>45012</v>
      </c>
      <c r="O43" s="36" t="s">
        <v>68</v>
      </c>
    </row>
    <row r="44" spans="1:15" ht="25.9" customHeight="1" x14ac:dyDescent="0.15">
      <c r="A44" s="17">
        <v>42</v>
      </c>
      <c r="B44" s="17">
        <v>36</v>
      </c>
      <c r="C44" s="25" t="s">
        <v>72</v>
      </c>
      <c r="D44" s="19">
        <v>48</v>
      </c>
      <c r="E44" s="19">
        <v>112.7</v>
      </c>
      <c r="F44" s="20">
        <f>(D44-E44)/E44</f>
        <v>-0.57409050576752441</v>
      </c>
      <c r="G44" s="21">
        <v>7</v>
      </c>
      <c r="H44" s="21">
        <v>1</v>
      </c>
      <c r="I44" s="10">
        <f t="shared" si="4"/>
        <v>7</v>
      </c>
      <c r="J44" s="22">
        <v>1</v>
      </c>
      <c r="K44" s="20" t="s">
        <v>18</v>
      </c>
      <c r="L44" s="19">
        <v>126361</v>
      </c>
      <c r="M44" s="21">
        <v>18974</v>
      </c>
      <c r="N44" s="23">
        <v>44967</v>
      </c>
      <c r="O44" s="36" t="s">
        <v>68</v>
      </c>
    </row>
    <row r="45" spans="1:15" ht="25.9" customHeight="1" x14ac:dyDescent="0.15">
      <c r="A45" s="17">
        <v>43</v>
      </c>
      <c r="B45" s="17">
        <v>35</v>
      </c>
      <c r="C45" s="25" t="s">
        <v>75</v>
      </c>
      <c r="D45" s="19">
        <v>42.5</v>
      </c>
      <c r="E45" s="19">
        <v>136.5</v>
      </c>
      <c r="F45" s="20">
        <f>(D45-E45)/E45</f>
        <v>-0.68864468864468864</v>
      </c>
      <c r="G45" s="21">
        <v>7</v>
      </c>
      <c r="H45" s="21">
        <v>2</v>
      </c>
      <c r="I45" s="10">
        <f t="shared" si="4"/>
        <v>3.5</v>
      </c>
      <c r="J45" s="22">
        <v>1</v>
      </c>
      <c r="K45" s="22">
        <v>7</v>
      </c>
      <c r="L45" s="19">
        <v>9233</v>
      </c>
      <c r="M45" s="21">
        <v>1590</v>
      </c>
      <c r="N45" s="23">
        <v>45012</v>
      </c>
      <c r="O45" s="36" t="s">
        <v>68</v>
      </c>
    </row>
    <row r="46" spans="1:15" ht="25.9" customHeight="1" x14ac:dyDescent="0.15">
      <c r="A46" s="17">
        <v>44</v>
      </c>
      <c r="B46" s="17">
        <v>43</v>
      </c>
      <c r="C46" s="25" t="s">
        <v>88</v>
      </c>
      <c r="D46" s="28">
        <v>30.8</v>
      </c>
      <c r="E46" s="19">
        <v>38.200000000000003</v>
      </c>
      <c r="F46" s="20">
        <f>(D46-E46)/E46</f>
        <v>-0.19371727748691103</v>
      </c>
      <c r="G46" s="29">
        <v>6</v>
      </c>
      <c r="H46" s="21">
        <v>4</v>
      </c>
      <c r="I46" s="10">
        <f t="shared" si="4"/>
        <v>1.5</v>
      </c>
      <c r="J46" s="22">
        <v>3</v>
      </c>
      <c r="K46" s="22">
        <v>2</v>
      </c>
      <c r="L46" s="28">
        <v>166.8</v>
      </c>
      <c r="M46" s="29">
        <v>28</v>
      </c>
      <c r="N46" s="23">
        <v>45044</v>
      </c>
      <c r="O46" s="36" t="s">
        <v>89</v>
      </c>
    </row>
    <row r="47" spans="1:15" ht="25.9" customHeight="1" x14ac:dyDescent="0.15">
      <c r="A47" s="17">
        <v>45</v>
      </c>
      <c r="B47" s="6">
        <v>31</v>
      </c>
      <c r="C47" s="13" t="s">
        <v>78</v>
      </c>
      <c r="D47" s="8">
        <v>25.8</v>
      </c>
      <c r="E47" s="8" t="s">
        <v>18</v>
      </c>
      <c r="F47" s="9" t="s">
        <v>18</v>
      </c>
      <c r="G47" s="10">
        <v>5</v>
      </c>
      <c r="H47" s="10">
        <v>1</v>
      </c>
      <c r="I47" s="10">
        <f t="shared" si="4"/>
        <v>5</v>
      </c>
      <c r="J47" s="11">
        <v>1</v>
      </c>
      <c r="K47" s="10">
        <v>7</v>
      </c>
      <c r="L47" s="8">
        <v>21792</v>
      </c>
      <c r="M47" s="10">
        <v>2589</v>
      </c>
      <c r="N47" s="12">
        <v>45012</v>
      </c>
      <c r="O47" s="34" t="s">
        <v>68</v>
      </c>
    </row>
    <row r="48" spans="1:15" ht="25.9" customHeight="1" x14ac:dyDescent="0.15">
      <c r="A48" s="17">
        <v>46</v>
      </c>
      <c r="B48" s="17">
        <v>44</v>
      </c>
      <c r="C48" s="25" t="s">
        <v>76</v>
      </c>
      <c r="D48" s="19">
        <v>14</v>
      </c>
      <c r="E48" s="19">
        <v>21.4</v>
      </c>
      <c r="F48" s="20">
        <f>(D48-E48)/E48</f>
        <v>-0.34579439252336447</v>
      </c>
      <c r="G48" s="21">
        <v>4</v>
      </c>
      <c r="H48" s="21">
        <v>1</v>
      </c>
      <c r="I48" s="10">
        <f t="shared" si="4"/>
        <v>4</v>
      </c>
      <c r="J48" s="22">
        <v>1</v>
      </c>
      <c r="K48" s="22">
        <v>7</v>
      </c>
      <c r="L48" s="19">
        <v>19016</v>
      </c>
      <c r="M48" s="21">
        <v>2145</v>
      </c>
      <c r="N48" s="23">
        <v>45012</v>
      </c>
      <c r="O48" s="36" t="s">
        <v>68</v>
      </c>
    </row>
    <row r="49" spans="1:15" s="45" customFormat="1" ht="25.9" customHeight="1" x14ac:dyDescent="0.2">
      <c r="A49" s="46" t="s">
        <v>85</v>
      </c>
      <c r="B49" s="46"/>
      <c r="C49" s="46" t="s">
        <v>122</v>
      </c>
      <c r="D49" s="47">
        <f>SUBTOTAL(109,Table1324[Pajamos 
(GBO)])</f>
        <v>241909.29</v>
      </c>
      <c r="E49" s="47" t="s">
        <v>120</v>
      </c>
      <c r="F49" s="42">
        <f>(D49-E49)/E49</f>
        <v>-0.21287308187888015</v>
      </c>
      <c r="G49" s="43">
        <f>SUBTOTAL(109,Table1324[Žiūrovų sk. 
(ADM)])</f>
        <v>38476</v>
      </c>
      <c r="H49" s="55"/>
      <c r="I49" s="46"/>
      <c r="J49" s="51"/>
      <c r="K49" s="46"/>
      <c r="L49" s="53"/>
      <c r="M49" s="55"/>
      <c r="N49" s="60"/>
      <c r="O49" s="46"/>
    </row>
    <row r="50" spans="1:15" hidden="1" x14ac:dyDescent="0.15">
      <c r="F50" s="3"/>
      <c r="O50" s="40"/>
    </row>
    <row r="51" spans="1:15" hidden="1" x14ac:dyDescent="0.15">
      <c r="F51" s="3"/>
      <c r="O51" s="40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248DD-E5A6-4F90-B5E8-B547BC621BE2}">
  <sheetPr>
    <pageSetUpPr fitToPage="1"/>
  </sheetPr>
  <dimension ref="A1:XFC66"/>
  <sheetViews>
    <sheetView topLeftCell="A36" zoomScale="60" zoomScaleNormal="60" workbookViewId="0">
      <selection activeCell="N40" sqref="N40:O40"/>
    </sheetView>
  </sheetViews>
  <sheetFormatPr defaultColWidth="0" defaultRowHeight="11.25" zeroHeight="1" x14ac:dyDescent="0.15"/>
  <cols>
    <col min="1" max="2" width="4.7109375" style="1" customWidth="1"/>
    <col min="3" max="3" width="30.7109375" style="1" customWidth="1"/>
    <col min="4" max="14" width="20.7109375" style="1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86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14" t="s">
        <v>55</v>
      </c>
      <c r="C2" s="15" t="s">
        <v>0</v>
      </c>
      <c r="D2" s="15" t="s">
        <v>1</v>
      </c>
      <c r="E2" s="15" t="s">
        <v>49</v>
      </c>
      <c r="F2" s="15" t="s">
        <v>2</v>
      </c>
      <c r="G2" s="15" t="s">
        <v>3</v>
      </c>
      <c r="H2" s="15" t="s">
        <v>4</v>
      </c>
      <c r="I2" s="15" t="s">
        <v>28</v>
      </c>
      <c r="J2" s="15" t="s">
        <v>10</v>
      </c>
      <c r="K2" s="15" t="s">
        <v>5</v>
      </c>
      <c r="L2" s="15" t="s">
        <v>6</v>
      </c>
      <c r="M2" s="15" t="s">
        <v>9</v>
      </c>
      <c r="N2" s="15" t="s">
        <v>8</v>
      </c>
      <c r="O2" s="16" t="s">
        <v>7</v>
      </c>
    </row>
    <row r="3" spans="1:18" s="24" customFormat="1" ht="25.9" customHeight="1" x14ac:dyDescent="0.2">
      <c r="A3" s="17">
        <v>1</v>
      </c>
      <c r="B3" s="17">
        <v>1</v>
      </c>
      <c r="C3" s="18" t="s">
        <v>50</v>
      </c>
      <c r="D3" s="19">
        <v>74154.19</v>
      </c>
      <c r="E3" s="19">
        <v>87940.32</v>
      </c>
      <c r="F3" s="20">
        <f>(D3-E3)/E3</f>
        <v>-0.15676688463266911</v>
      </c>
      <c r="G3" s="21">
        <v>14436</v>
      </c>
      <c r="H3" s="17">
        <v>351</v>
      </c>
      <c r="I3" s="22">
        <f t="shared" ref="I3:I12" si="0">G3/H3</f>
        <v>41.128205128205131</v>
      </c>
      <c r="J3" s="17">
        <v>16</v>
      </c>
      <c r="K3" s="22">
        <v>2</v>
      </c>
      <c r="L3" s="19">
        <v>172636.11000000002</v>
      </c>
      <c r="M3" s="21">
        <v>34116</v>
      </c>
      <c r="N3" s="23">
        <v>45037</v>
      </c>
      <c r="O3" s="30" t="s">
        <v>51</v>
      </c>
    </row>
    <row r="4" spans="1:18" s="24" customFormat="1" ht="25.9" customHeight="1" x14ac:dyDescent="0.2">
      <c r="A4" s="17">
        <v>2</v>
      </c>
      <c r="B4" s="17">
        <v>2</v>
      </c>
      <c r="C4" s="18" t="s">
        <v>11</v>
      </c>
      <c r="D4" s="19">
        <v>69853.52</v>
      </c>
      <c r="E4" s="19">
        <v>55044.17</v>
      </c>
      <c r="F4" s="20">
        <f>(D4-E4)/E4</f>
        <v>0.26904484162446279</v>
      </c>
      <c r="G4" s="21">
        <v>12092</v>
      </c>
      <c r="H4" s="22">
        <v>352</v>
      </c>
      <c r="I4" s="22">
        <f t="shared" si="0"/>
        <v>34.352272727272727</v>
      </c>
      <c r="J4" s="17">
        <v>26</v>
      </c>
      <c r="K4" s="22">
        <v>4</v>
      </c>
      <c r="L4" s="19">
        <v>445386.77</v>
      </c>
      <c r="M4" s="21">
        <v>80183</v>
      </c>
      <c r="N4" s="23">
        <v>45023</v>
      </c>
      <c r="O4" s="30" t="s">
        <v>61</v>
      </c>
    </row>
    <row r="5" spans="1:18" s="24" customFormat="1" ht="25.9" customHeight="1" x14ac:dyDescent="0.2">
      <c r="A5" s="17">
        <v>3</v>
      </c>
      <c r="B5" s="17" t="s">
        <v>31</v>
      </c>
      <c r="C5" s="18" t="s">
        <v>60</v>
      </c>
      <c r="D5" s="19">
        <v>29938.82</v>
      </c>
      <c r="E5" s="19" t="s">
        <v>18</v>
      </c>
      <c r="F5" s="20" t="s">
        <v>18</v>
      </c>
      <c r="G5" s="21">
        <v>3965</v>
      </c>
      <c r="H5" s="22">
        <v>196</v>
      </c>
      <c r="I5" s="22">
        <f t="shared" si="0"/>
        <v>20.229591836734695</v>
      </c>
      <c r="J5" s="17">
        <v>15</v>
      </c>
      <c r="K5" s="22">
        <v>1</v>
      </c>
      <c r="L5" s="19">
        <v>31520.59</v>
      </c>
      <c r="M5" s="21">
        <v>4183</v>
      </c>
      <c r="N5" s="23">
        <v>45044</v>
      </c>
      <c r="O5" s="30" t="s">
        <v>13</v>
      </c>
      <c r="R5" s="17"/>
    </row>
    <row r="6" spans="1:18" s="24" customFormat="1" ht="25.9" customHeight="1" x14ac:dyDescent="0.2">
      <c r="A6" s="17">
        <v>4</v>
      </c>
      <c r="B6" s="17">
        <v>3</v>
      </c>
      <c r="C6" s="25" t="s">
        <v>53</v>
      </c>
      <c r="D6" s="28">
        <v>23485.11</v>
      </c>
      <c r="E6" s="28">
        <v>31145.5</v>
      </c>
      <c r="F6" s="20">
        <f>(D6-E6)/E6</f>
        <v>-0.24595495336404935</v>
      </c>
      <c r="G6" s="29">
        <v>3371</v>
      </c>
      <c r="H6" s="21">
        <v>133</v>
      </c>
      <c r="I6" s="22">
        <f t="shared" si="0"/>
        <v>25.345864661654137</v>
      </c>
      <c r="J6" s="21">
        <v>13</v>
      </c>
      <c r="K6" s="22">
        <v>2</v>
      </c>
      <c r="L6" s="28">
        <v>56815.64</v>
      </c>
      <c r="M6" s="29">
        <v>8157</v>
      </c>
      <c r="N6" s="23">
        <v>45037</v>
      </c>
      <c r="O6" s="30" t="s">
        <v>14</v>
      </c>
      <c r="R6" s="17"/>
    </row>
    <row r="7" spans="1:18" s="24" customFormat="1" ht="25.9" customHeight="1" x14ac:dyDescent="0.2">
      <c r="A7" s="17">
        <v>5</v>
      </c>
      <c r="B7" s="6" t="s">
        <v>31</v>
      </c>
      <c r="C7" s="13" t="s">
        <v>90</v>
      </c>
      <c r="D7" s="8">
        <v>20079.349999999999</v>
      </c>
      <c r="E7" s="8" t="s">
        <v>18</v>
      </c>
      <c r="F7" s="9" t="s">
        <v>18</v>
      </c>
      <c r="G7" s="10">
        <v>3867</v>
      </c>
      <c r="H7" s="6">
        <v>204</v>
      </c>
      <c r="I7" s="11">
        <f t="shared" si="0"/>
        <v>18.955882352941178</v>
      </c>
      <c r="J7" s="6">
        <v>19</v>
      </c>
      <c r="K7" s="11">
        <v>1</v>
      </c>
      <c r="L7" s="8">
        <v>20079.349999999999</v>
      </c>
      <c r="M7" s="10">
        <v>3867</v>
      </c>
      <c r="N7" s="12">
        <v>45044</v>
      </c>
      <c r="O7" s="36" t="s">
        <v>16</v>
      </c>
      <c r="R7" s="17"/>
    </row>
    <row r="8" spans="1:18" s="24" customFormat="1" ht="25.9" customHeight="1" x14ac:dyDescent="0.2">
      <c r="A8" s="17">
        <v>6</v>
      </c>
      <c r="B8" s="6" t="s">
        <v>57</v>
      </c>
      <c r="C8" s="13" t="s">
        <v>97</v>
      </c>
      <c r="D8" s="8">
        <v>14174.43</v>
      </c>
      <c r="E8" s="8" t="s">
        <v>18</v>
      </c>
      <c r="F8" s="9" t="s">
        <v>18</v>
      </c>
      <c r="G8" s="10">
        <v>1902</v>
      </c>
      <c r="H8" s="6">
        <v>20</v>
      </c>
      <c r="I8" s="11">
        <f t="shared" si="0"/>
        <v>95.1</v>
      </c>
      <c r="J8" s="6">
        <v>13</v>
      </c>
      <c r="K8" s="11">
        <v>0</v>
      </c>
      <c r="L8" s="8">
        <v>14174.43</v>
      </c>
      <c r="M8" s="10">
        <v>1902</v>
      </c>
      <c r="N8" s="12" t="s">
        <v>59</v>
      </c>
      <c r="O8" s="30" t="s">
        <v>40</v>
      </c>
      <c r="R8" s="17"/>
    </row>
    <row r="9" spans="1:18" s="24" customFormat="1" ht="25.9" customHeight="1" x14ac:dyDescent="0.2">
      <c r="A9" s="17">
        <v>7</v>
      </c>
      <c r="B9" s="17">
        <v>4</v>
      </c>
      <c r="C9" s="18" t="s">
        <v>19</v>
      </c>
      <c r="D9" s="19">
        <v>13550.13</v>
      </c>
      <c r="E9" s="19">
        <v>14794.01</v>
      </c>
      <c r="F9" s="20">
        <f>(D9-E9)/E9</f>
        <v>-8.407997561175104E-2</v>
      </c>
      <c r="G9" s="21">
        <v>1881</v>
      </c>
      <c r="H9" s="22">
        <v>69</v>
      </c>
      <c r="I9" s="22">
        <f t="shared" si="0"/>
        <v>27.260869565217391</v>
      </c>
      <c r="J9" s="17">
        <v>7</v>
      </c>
      <c r="K9" s="22">
        <v>4</v>
      </c>
      <c r="L9" s="19">
        <v>126228.9</v>
      </c>
      <c r="M9" s="21">
        <v>18232</v>
      </c>
      <c r="N9" s="23">
        <v>45023</v>
      </c>
      <c r="O9" s="30" t="s">
        <v>12</v>
      </c>
      <c r="R9" s="17"/>
    </row>
    <row r="10" spans="1:18" s="24" customFormat="1" ht="25.9" customHeight="1" x14ac:dyDescent="0.2">
      <c r="A10" s="17">
        <v>8</v>
      </c>
      <c r="B10" s="17">
        <v>7</v>
      </c>
      <c r="C10" s="18" t="s">
        <v>20</v>
      </c>
      <c r="D10" s="19">
        <v>8430.66</v>
      </c>
      <c r="E10" s="19">
        <v>10630.71</v>
      </c>
      <c r="F10" s="20">
        <f>(D10-E10)/E10</f>
        <v>-0.20695231080520488</v>
      </c>
      <c r="G10" s="21">
        <v>1164</v>
      </c>
      <c r="H10" s="22">
        <v>39</v>
      </c>
      <c r="I10" s="22">
        <f t="shared" si="0"/>
        <v>29.846153846153847</v>
      </c>
      <c r="J10" s="17">
        <v>7</v>
      </c>
      <c r="K10" s="22">
        <v>6</v>
      </c>
      <c r="L10" s="19">
        <v>316564.24</v>
      </c>
      <c r="M10" s="21">
        <v>43410</v>
      </c>
      <c r="N10" s="23">
        <v>45009</v>
      </c>
      <c r="O10" s="30" t="s">
        <v>13</v>
      </c>
      <c r="R10" s="17"/>
    </row>
    <row r="11" spans="1:18" s="24" customFormat="1" ht="25.9" customHeight="1" x14ac:dyDescent="0.2">
      <c r="A11" s="17">
        <v>9</v>
      </c>
      <c r="B11" s="17">
        <v>6</v>
      </c>
      <c r="C11" s="18" t="s">
        <v>21</v>
      </c>
      <c r="D11" s="19">
        <v>7280.78</v>
      </c>
      <c r="E11" s="19">
        <v>11220.69</v>
      </c>
      <c r="F11" s="20">
        <f>(D11-E11)/E11</f>
        <v>-0.3511290303893968</v>
      </c>
      <c r="G11" s="21">
        <v>1120</v>
      </c>
      <c r="H11" s="22">
        <v>48</v>
      </c>
      <c r="I11" s="22">
        <f t="shared" si="0"/>
        <v>23.333333333333332</v>
      </c>
      <c r="J11" s="17">
        <v>6</v>
      </c>
      <c r="K11" s="22">
        <v>3</v>
      </c>
      <c r="L11" s="19">
        <v>49221.53</v>
      </c>
      <c r="M11" s="21">
        <v>7867</v>
      </c>
      <c r="N11" s="23">
        <v>45030</v>
      </c>
      <c r="O11" s="30" t="s">
        <v>14</v>
      </c>
      <c r="R11" s="17"/>
    </row>
    <row r="12" spans="1:18" s="24" customFormat="1" ht="25.9" customHeight="1" x14ac:dyDescent="0.2">
      <c r="A12" s="17">
        <v>10</v>
      </c>
      <c r="B12" s="17" t="s">
        <v>31</v>
      </c>
      <c r="C12" s="18" t="s">
        <v>58</v>
      </c>
      <c r="D12" s="19">
        <v>6939.87</v>
      </c>
      <c r="E12" s="19" t="s">
        <v>18</v>
      </c>
      <c r="F12" s="20" t="s">
        <v>18</v>
      </c>
      <c r="G12" s="21">
        <v>1114</v>
      </c>
      <c r="H12" s="22">
        <v>116</v>
      </c>
      <c r="I12" s="22">
        <f t="shared" si="0"/>
        <v>9.6034482758620694</v>
      </c>
      <c r="J12" s="17">
        <v>21</v>
      </c>
      <c r="K12" s="22">
        <v>1</v>
      </c>
      <c r="L12" s="19">
        <v>7708.37</v>
      </c>
      <c r="M12" s="21">
        <v>1235</v>
      </c>
      <c r="N12" s="23">
        <v>45044</v>
      </c>
      <c r="O12" s="30" t="s">
        <v>16</v>
      </c>
      <c r="R12" s="17"/>
    </row>
    <row r="13" spans="1:18" s="24" customFormat="1" ht="25.9" customHeight="1" x14ac:dyDescent="0.2">
      <c r="A13" s="17">
        <v>11</v>
      </c>
      <c r="B13" s="17">
        <v>8</v>
      </c>
      <c r="C13" s="18" t="s">
        <v>22</v>
      </c>
      <c r="D13" s="19">
        <v>6095</v>
      </c>
      <c r="E13" s="19">
        <v>9254</v>
      </c>
      <c r="F13" s="20">
        <f>(D13-E13)/E13</f>
        <v>-0.34136589582883076</v>
      </c>
      <c r="G13" s="21">
        <v>922</v>
      </c>
      <c r="H13" s="22" t="s">
        <v>18</v>
      </c>
      <c r="I13" s="22" t="s">
        <v>18</v>
      </c>
      <c r="J13" s="17">
        <v>13</v>
      </c>
      <c r="K13" s="22">
        <v>3</v>
      </c>
      <c r="L13" s="19">
        <v>49232</v>
      </c>
      <c r="M13" s="21">
        <v>7450</v>
      </c>
      <c r="N13" s="23">
        <v>45030</v>
      </c>
      <c r="O13" s="30" t="s">
        <v>15</v>
      </c>
      <c r="R13" s="17"/>
    </row>
    <row r="14" spans="1:18" s="24" customFormat="1" ht="25.9" customHeight="1" x14ac:dyDescent="0.2">
      <c r="A14" s="17">
        <v>12</v>
      </c>
      <c r="B14" s="17">
        <v>9</v>
      </c>
      <c r="C14" s="18" t="s">
        <v>56</v>
      </c>
      <c r="D14" s="19">
        <v>5782</v>
      </c>
      <c r="E14" s="19">
        <v>6131</v>
      </c>
      <c r="F14" s="20">
        <f>(D14-E14)/E14</f>
        <v>-5.6923829717827432E-2</v>
      </c>
      <c r="G14" s="21">
        <v>1223</v>
      </c>
      <c r="H14" s="22" t="s">
        <v>18</v>
      </c>
      <c r="I14" s="22" t="s">
        <v>18</v>
      </c>
      <c r="J14" s="17">
        <v>13</v>
      </c>
      <c r="K14" s="22">
        <v>2</v>
      </c>
      <c r="L14" s="19">
        <v>11913</v>
      </c>
      <c r="M14" s="21">
        <v>2469</v>
      </c>
      <c r="N14" s="23">
        <v>45037</v>
      </c>
      <c r="O14" s="30" t="s">
        <v>30</v>
      </c>
      <c r="R14" s="17"/>
    </row>
    <row r="15" spans="1:18" s="24" customFormat="1" ht="25.9" customHeight="1" x14ac:dyDescent="0.2">
      <c r="A15" s="17">
        <v>13</v>
      </c>
      <c r="B15" s="17">
        <v>11</v>
      </c>
      <c r="C15" s="18" t="s">
        <v>26</v>
      </c>
      <c r="D15" s="19">
        <v>4702.51</v>
      </c>
      <c r="E15" s="19">
        <v>3663.59</v>
      </c>
      <c r="F15" s="20">
        <f>(D15-E15)/E15</f>
        <v>0.28357976738663443</v>
      </c>
      <c r="G15" s="21">
        <v>693</v>
      </c>
      <c r="H15" s="22">
        <v>32</v>
      </c>
      <c r="I15" s="22">
        <f>G15/H15</f>
        <v>21.65625</v>
      </c>
      <c r="J15" s="17">
        <v>3</v>
      </c>
      <c r="K15" s="22">
        <v>5</v>
      </c>
      <c r="L15" s="19">
        <v>66193</v>
      </c>
      <c r="M15" s="21">
        <v>9957</v>
      </c>
      <c r="N15" s="23">
        <v>45016</v>
      </c>
      <c r="O15" s="30" t="s">
        <v>62</v>
      </c>
      <c r="R15" s="17"/>
    </row>
    <row r="16" spans="1:18" s="24" customFormat="1" ht="25.9" customHeight="1" x14ac:dyDescent="0.2">
      <c r="A16" s="17">
        <v>14</v>
      </c>
      <c r="B16" s="17">
        <v>10</v>
      </c>
      <c r="C16" s="18" t="s">
        <v>23</v>
      </c>
      <c r="D16" s="19">
        <v>4599.01</v>
      </c>
      <c r="E16" s="19">
        <v>5959.23</v>
      </c>
      <c r="F16" s="20">
        <f>(D16-E16)/E16</f>
        <v>-0.22825432144756946</v>
      </c>
      <c r="G16" s="21">
        <v>718</v>
      </c>
      <c r="H16" s="22">
        <v>40</v>
      </c>
      <c r="I16" s="22">
        <f>G16/H16</f>
        <v>17.95</v>
      </c>
      <c r="J16" s="17">
        <v>6</v>
      </c>
      <c r="K16" s="22">
        <v>3</v>
      </c>
      <c r="L16" s="19">
        <v>33710.92</v>
      </c>
      <c r="M16" s="21">
        <v>5270</v>
      </c>
      <c r="N16" s="23">
        <v>45030</v>
      </c>
      <c r="O16" s="30" t="s">
        <v>12</v>
      </c>
      <c r="R16" s="17"/>
    </row>
    <row r="17" spans="1:19" s="24" customFormat="1" ht="25.9" customHeight="1" x14ac:dyDescent="0.2">
      <c r="A17" s="17">
        <v>15</v>
      </c>
      <c r="B17" s="6" t="s">
        <v>31</v>
      </c>
      <c r="C17" s="13" t="s">
        <v>99</v>
      </c>
      <c r="D17" s="8">
        <v>3752.95</v>
      </c>
      <c r="E17" s="8" t="s">
        <v>18</v>
      </c>
      <c r="F17" s="9" t="s">
        <v>18</v>
      </c>
      <c r="G17" s="10">
        <v>593</v>
      </c>
      <c r="H17" s="6" t="s">
        <v>18</v>
      </c>
      <c r="I17" s="6" t="s">
        <v>18</v>
      </c>
      <c r="J17" s="6">
        <v>7</v>
      </c>
      <c r="K17" s="11">
        <v>1</v>
      </c>
      <c r="L17" s="8">
        <v>3752.95</v>
      </c>
      <c r="M17" s="10">
        <v>593</v>
      </c>
      <c r="N17" s="12">
        <v>45044</v>
      </c>
      <c r="O17" s="34" t="s">
        <v>100</v>
      </c>
      <c r="R17" s="17"/>
    </row>
    <row r="18" spans="1:19" s="24" customFormat="1" ht="25.9" customHeight="1" x14ac:dyDescent="0.2">
      <c r="A18" s="17">
        <v>16</v>
      </c>
      <c r="B18" s="17">
        <v>13</v>
      </c>
      <c r="C18" s="18" t="s">
        <v>52</v>
      </c>
      <c r="D18" s="28">
        <v>2348.75</v>
      </c>
      <c r="E18" s="28">
        <v>1937.53</v>
      </c>
      <c r="F18" s="20">
        <f t="shared" ref="F18:F23" si="1">(D18-E18)/E18</f>
        <v>0.21223929435931316</v>
      </c>
      <c r="G18" s="29">
        <v>353</v>
      </c>
      <c r="H18" s="21">
        <v>22</v>
      </c>
      <c r="I18" s="22">
        <f t="shared" ref="I18:I49" si="2">G18/H18</f>
        <v>16.045454545454547</v>
      </c>
      <c r="J18" s="21">
        <v>6</v>
      </c>
      <c r="K18" s="22">
        <v>2</v>
      </c>
      <c r="L18" s="28">
        <v>7425.36</v>
      </c>
      <c r="M18" s="29">
        <v>1219</v>
      </c>
      <c r="N18" s="23">
        <v>45037</v>
      </c>
      <c r="O18" s="30" t="s">
        <v>16</v>
      </c>
      <c r="R18" s="17"/>
    </row>
    <row r="19" spans="1:19" s="24" customFormat="1" ht="25.9" customHeight="1" x14ac:dyDescent="0.2">
      <c r="A19" s="17">
        <v>17</v>
      </c>
      <c r="B19" s="17">
        <v>19</v>
      </c>
      <c r="C19" s="25" t="s">
        <v>43</v>
      </c>
      <c r="D19" s="19">
        <v>2159</v>
      </c>
      <c r="E19" s="19">
        <v>1280.4100000000001</v>
      </c>
      <c r="F19" s="20">
        <f t="shared" si="1"/>
        <v>0.68617864590248423</v>
      </c>
      <c r="G19" s="21">
        <v>436</v>
      </c>
      <c r="H19" s="22">
        <v>10</v>
      </c>
      <c r="I19" s="22">
        <f t="shared" si="2"/>
        <v>43.6</v>
      </c>
      <c r="J19" s="17">
        <v>6</v>
      </c>
      <c r="K19" s="22">
        <v>10</v>
      </c>
      <c r="L19" s="19">
        <v>129176.98</v>
      </c>
      <c r="M19" s="21">
        <v>20267</v>
      </c>
      <c r="N19" s="23">
        <v>44981</v>
      </c>
      <c r="O19" s="35" t="s">
        <v>17</v>
      </c>
      <c r="R19" s="17"/>
    </row>
    <row r="20" spans="1:19" s="24" customFormat="1" ht="25.9" customHeight="1" x14ac:dyDescent="0.2">
      <c r="A20" s="17">
        <v>18</v>
      </c>
      <c r="B20" s="17">
        <v>20</v>
      </c>
      <c r="C20" s="18" t="s">
        <v>36</v>
      </c>
      <c r="D20" s="19">
        <v>1278.4000000000001</v>
      </c>
      <c r="E20" s="19">
        <v>1082.4000000000001</v>
      </c>
      <c r="F20" s="20">
        <f t="shared" si="1"/>
        <v>0.18107908351810789</v>
      </c>
      <c r="G20" s="21">
        <v>205</v>
      </c>
      <c r="H20" s="22">
        <v>12</v>
      </c>
      <c r="I20" s="22">
        <f t="shared" si="2"/>
        <v>17.083333333333332</v>
      </c>
      <c r="J20" s="17">
        <v>2</v>
      </c>
      <c r="K20" s="22">
        <v>9</v>
      </c>
      <c r="L20" s="19">
        <v>227087.32000000004</v>
      </c>
      <c r="M20" s="21">
        <v>35584</v>
      </c>
      <c r="N20" s="23">
        <v>44988</v>
      </c>
      <c r="O20" s="30" t="s">
        <v>39</v>
      </c>
      <c r="R20" s="17"/>
    </row>
    <row r="21" spans="1:19" s="24" customFormat="1" ht="25.9" customHeight="1" x14ac:dyDescent="0.2">
      <c r="A21" s="17">
        <v>19</v>
      </c>
      <c r="B21" s="6">
        <v>26</v>
      </c>
      <c r="C21" s="13" t="s">
        <v>94</v>
      </c>
      <c r="D21" s="8">
        <v>1246.2</v>
      </c>
      <c r="E21" s="8">
        <v>472.2</v>
      </c>
      <c r="F21" s="20">
        <f t="shared" si="1"/>
        <v>1.6391359593392631</v>
      </c>
      <c r="G21" s="10">
        <v>229</v>
      </c>
      <c r="H21" s="6">
        <v>6</v>
      </c>
      <c r="I21" s="11">
        <f t="shared" si="2"/>
        <v>38.166666666666664</v>
      </c>
      <c r="J21" s="6">
        <v>3</v>
      </c>
      <c r="K21" s="11">
        <v>2</v>
      </c>
      <c r="L21" s="8">
        <v>1718.4</v>
      </c>
      <c r="M21" s="10">
        <v>302</v>
      </c>
      <c r="N21" s="12">
        <v>45043</v>
      </c>
      <c r="O21" s="36" t="s">
        <v>95</v>
      </c>
      <c r="R21" s="17"/>
    </row>
    <row r="22" spans="1:19" s="24" customFormat="1" ht="25.9" customHeight="1" x14ac:dyDescent="0.2">
      <c r="A22" s="17">
        <v>20</v>
      </c>
      <c r="B22" s="17">
        <v>33</v>
      </c>
      <c r="C22" s="18" t="s">
        <v>37</v>
      </c>
      <c r="D22" s="19">
        <v>1151</v>
      </c>
      <c r="E22" s="19">
        <v>221</v>
      </c>
      <c r="F22" s="20">
        <f t="shared" si="1"/>
        <v>4.2081447963800906</v>
      </c>
      <c r="G22" s="21">
        <v>233</v>
      </c>
      <c r="H22" s="22">
        <v>7</v>
      </c>
      <c r="I22" s="22">
        <f t="shared" si="2"/>
        <v>33.285714285714285</v>
      </c>
      <c r="J22" s="17">
        <v>3</v>
      </c>
      <c r="K22" s="22">
        <v>11</v>
      </c>
      <c r="L22" s="19">
        <v>275905.13</v>
      </c>
      <c r="M22" s="21">
        <v>46299</v>
      </c>
      <c r="N22" s="23">
        <v>44973</v>
      </c>
      <c r="O22" s="30" t="s">
        <v>13</v>
      </c>
      <c r="R22" s="17"/>
    </row>
    <row r="23" spans="1:19" s="24" customFormat="1" ht="25.9" customHeight="1" x14ac:dyDescent="0.2">
      <c r="A23" s="17">
        <v>21</v>
      </c>
      <c r="B23" s="17">
        <v>15</v>
      </c>
      <c r="C23" s="18" t="s">
        <v>41</v>
      </c>
      <c r="D23" s="19">
        <v>979.58</v>
      </c>
      <c r="E23" s="19">
        <v>1508.4</v>
      </c>
      <c r="F23" s="20">
        <f t="shared" si="1"/>
        <v>-0.35058339962874568</v>
      </c>
      <c r="G23" s="21">
        <v>142</v>
      </c>
      <c r="H23" s="22">
        <v>9</v>
      </c>
      <c r="I23" s="22">
        <f t="shared" si="2"/>
        <v>15.777777777777779</v>
      </c>
      <c r="J23" s="17">
        <v>4</v>
      </c>
      <c r="K23" s="22">
        <v>3</v>
      </c>
      <c r="L23" s="19">
        <v>8030.89</v>
      </c>
      <c r="M23" s="21">
        <v>1324</v>
      </c>
      <c r="N23" s="23">
        <v>45030</v>
      </c>
      <c r="O23" s="30" t="s">
        <v>46</v>
      </c>
      <c r="R23" s="17"/>
    </row>
    <row r="24" spans="1:19" s="27" customFormat="1" ht="25.9" customHeight="1" x14ac:dyDescent="0.15">
      <c r="A24" s="17">
        <v>22</v>
      </c>
      <c r="B24" s="9" t="s">
        <v>31</v>
      </c>
      <c r="C24" s="13" t="s">
        <v>87</v>
      </c>
      <c r="D24" s="32">
        <v>797.27</v>
      </c>
      <c r="E24" s="8" t="s">
        <v>18</v>
      </c>
      <c r="F24" s="9" t="s">
        <v>18</v>
      </c>
      <c r="G24" s="33">
        <v>126</v>
      </c>
      <c r="H24" s="10">
        <v>14</v>
      </c>
      <c r="I24" s="11">
        <f t="shared" si="2"/>
        <v>9</v>
      </c>
      <c r="J24" s="10">
        <v>4</v>
      </c>
      <c r="K24" s="11">
        <v>1</v>
      </c>
      <c r="L24" s="32">
        <v>797.27</v>
      </c>
      <c r="M24" s="33">
        <v>126</v>
      </c>
      <c r="N24" s="12">
        <v>45044</v>
      </c>
      <c r="O24" s="36" t="s">
        <v>30</v>
      </c>
      <c r="R24" s="17"/>
      <c r="S24" s="24"/>
    </row>
    <row r="25" spans="1:19" s="27" customFormat="1" ht="25.9" customHeight="1" x14ac:dyDescent="0.15">
      <c r="A25" s="17">
        <v>23</v>
      </c>
      <c r="B25" s="17" t="s">
        <v>31</v>
      </c>
      <c r="C25" s="25" t="s">
        <v>66</v>
      </c>
      <c r="D25" s="28">
        <v>569</v>
      </c>
      <c r="E25" s="28">
        <v>12600.27</v>
      </c>
      <c r="F25" s="20">
        <f>(D25-E25)/E25</f>
        <v>-0.95484223750760899</v>
      </c>
      <c r="G25" s="29">
        <v>108</v>
      </c>
      <c r="H25" s="21">
        <v>1</v>
      </c>
      <c r="I25" s="22">
        <f t="shared" si="2"/>
        <v>108</v>
      </c>
      <c r="J25" s="21">
        <v>1</v>
      </c>
      <c r="K25" s="22">
        <v>1</v>
      </c>
      <c r="L25" s="28">
        <v>13169.27</v>
      </c>
      <c r="M25" s="29">
        <v>2011</v>
      </c>
      <c r="N25" s="23">
        <v>45047</v>
      </c>
      <c r="O25" s="36" t="s">
        <v>61</v>
      </c>
      <c r="R25" s="17"/>
      <c r="S25" s="24"/>
    </row>
    <row r="26" spans="1:19" s="27" customFormat="1" ht="25.9" customHeight="1" x14ac:dyDescent="0.15">
      <c r="A26" s="17">
        <v>24</v>
      </c>
      <c r="B26" s="17">
        <v>12</v>
      </c>
      <c r="C26" s="18" t="s">
        <v>25</v>
      </c>
      <c r="D26" s="19">
        <v>473.79</v>
      </c>
      <c r="E26" s="19">
        <v>1944.54</v>
      </c>
      <c r="F26" s="20">
        <f>(D26-E26)/E26</f>
        <v>-0.7563485451572094</v>
      </c>
      <c r="G26" s="21">
        <v>76</v>
      </c>
      <c r="H26" s="22">
        <v>6</v>
      </c>
      <c r="I26" s="22">
        <f t="shared" si="2"/>
        <v>12.666666666666666</v>
      </c>
      <c r="J26" s="17">
        <v>3</v>
      </c>
      <c r="K26" s="22">
        <v>4</v>
      </c>
      <c r="L26" s="19">
        <v>33518.300000000003</v>
      </c>
      <c r="M26" s="21">
        <v>5111</v>
      </c>
      <c r="N26" s="23">
        <v>45023</v>
      </c>
      <c r="O26" s="30" t="s">
        <v>16</v>
      </c>
    </row>
    <row r="27" spans="1:19" s="27" customFormat="1" ht="25.9" customHeight="1" x14ac:dyDescent="0.15">
      <c r="A27" s="17">
        <v>25</v>
      </c>
      <c r="B27" s="17">
        <v>16</v>
      </c>
      <c r="C27" s="25" t="s">
        <v>67</v>
      </c>
      <c r="D27" s="28">
        <v>445.1</v>
      </c>
      <c r="E27" s="28">
        <v>1479.9</v>
      </c>
      <c r="F27" s="20">
        <f>(D27-E27)/E27</f>
        <v>-0.69923643489424969</v>
      </c>
      <c r="G27" s="29">
        <v>74</v>
      </c>
      <c r="H27" s="21">
        <v>6</v>
      </c>
      <c r="I27" s="22">
        <f t="shared" si="2"/>
        <v>12.333333333333334</v>
      </c>
      <c r="J27" s="22" t="s">
        <v>18</v>
      </c>
      <c r="K27" s="22">
        <v>6</v>
      </c>
      <c r="L27" s="28">
        <v>53538</v>
      </c>
      <c r="M27" s="29">
        <v>7026</v>
      </c>
      <c r="N27" s="23">
        <v>45012</v>
      </c>
      <c r="O27" s="36" t="s">
        <v>68</v>
      </c>
    </row>
    <row r="28" spans="1:19" s="27" customFormat="1" ht="25.9" customHeight="1" x14ac:dyDescent="0.15">
      <c r="A28" s="17">
        <v>26</v>
      </c>
      <c r="B28" s="6" t="s">
        <v>18</v>
      </c>
      <c r="C28" s="13" t="s">
        <v>91</v>
      </c>
      <c r="D28" s="8">
        <v>400</v>
      </c>
      <c r="E28" s="8" t="s">
        <v>18</v>
      </c>
      <c r="F28" s="9" t="s">
        <v>18</v>
      </c>
      <c r="G28" s="10">
        <v>100</v>
      </c>
      <c r="H28" s="6">
        <v>2</v>
      </c>
      <c r="I28" s="11">
        <f t="shared" si="2"/>
        <v>50</v>
      </c>
      <c r="J28" s="6">
        <v>1</v>
      </c>
      <c r="K28" s="11" t="s">
        <v>18</v>
      </c>
      <c r="L28" s="8">
        <v>80545.63</v>
      </c>
      <c r="M28" s="10">
        <v>12667</v>
      </c>
      <c r="N28" s="12">
        <v>44932</v>
      </c>
      <c r="O28" s="36" t="s">
        <v>12</v>
      </c>
    </row>
    <row r="29" spans="1:19" s="27" customFormat="1" ht="25.9" customHeight="1" x14ac:dyDescent="0.15">
      <c r="A29" s="17">
        <v>27</v>
      </c>
      <c r="B29" s="17">
        <v>17</v>
      </c>
      <c r="C29" s="18" t="s">
        <v>24</v>
      </c>
      <c r="D29" s="19">
        <v>330.5</v>
      </c>
      <c r="E29" s="19">
        <v>1420.4</v>
      </c>
      <c r="F29" s="20">
        <f>(D29-E29)/E29</f>
        <v>-0.76731906505209801</v>
      </c>
      <c r="G29" s="21">
        <v>44</v>
      </c>
      <c r="H29" s="22">
        <v>4</v>
      </c>
      <c r="I29" s="22">
        <f t="shared" si="2"/>
        <v>11</v>
      </c>
      <c r="J29" s="17">
        <v>2</v>
      </c>
      <c r="K29" s="22">
        <v>3</v>
      </c>
      <c r="L29" s="19">
        <v>12346.88</v>
      </c>
      <c r="M29" s="21">
        <v>1871</v>
      </c>
      <c r="N29" s="23">
        <v>45030</v>
      </c>
      <c r="O29" s="30" t="s">
        <v>61</v>
      </c>
    </row>
    <row r="30" spans="1:19" s="27" customFormat="1" ht="25.9" customHeight="1" x14ac:dyDescent="0.15">
      <c r="A30" s="17">
        <v>28</v>
      </c>
      <c r="B30" s="17">
        <v>38</v>
      </c>
      <c r="C30" s="18" t="s">
        <v>35</v>
      </c>
      <c r="D30" s="19">
        <v>302.10000000000002</v>
      </c>
      <c r="E30" s="19">
        <v>151</v>
      </c>
      <c r="F30" s="20">
        <f>(D30-E30)/E30</f>
        <v>1.0006622516556294</v>
      </c>
      <c r="G30" s="21">
        <v>58</v>
      </c>
      <c r="H30" s="22">
        <v>6</v>
      </c>
      <c r="I30" s="22">
        <f t="shared" si="2"/>
        <v>9.6666666666666661</v>
      </c>
      <c r="J30" s="17">
        <v>4</v>
      </c>
      <c r="K30" s="22">
        <v>3</v>
      </c>
      <c r="L30" s="19">
        <v>1066.7</v>
      </c>
      <c r="M30" s="21">
        <v>210</v>
      </c>
      <c r="N30" s="23">
        <v>45030</v>
      </c>
      <c r="O30" s="30" t="s">
        <v>30</v>
      </c>
    </row>
    <row r="31" spans="1:19" s="27" customFormat="1" ht="25.9" customHeight="1" x14ac:dyDescent="0.15">
      <c r="A31" s="17">
        <v>29</v>
      </c>
      <c r="B31" s="6" t="s">
        <v>57</v>
      </c>
      <c r="C31" s="13" t="s">
        <v>102</v>
      </c>
      <c r="D31" s="8">
        <v>279</v>
      </c>
      <c r="E31" s="8" t="s">
        <v>18</v>
      </c>
      <c r="F31" s="9" t="s">
        <v>18</v>
      </c>
      <c r="G31" s="10">
        <v>93</v>
      </c>
      <c r="H31" s="6">
        <v>2</v>
      </c>
      <c r="I31" s="11">
        <f t="shared" si="2"/>
        <v>46.5</v>
      </c>
      <c r="J31" s="6" t="s">
        <v>18</v>
      </c>
      <c r="K31" s="6" t="s">
        <v>18</v>
      </c>
      <c r="L31" s="8">
        <v>279</v>
      </c>
      <c r="M31" s="10">
        <v>93</v>
      </c>
      <c r="N31" s="12" t="s">
        <v>59</v>
      </c>
      <c r="O31" s="34" t="s">
        <v>68</v>
      </c>
    </row>
    <row r="32" spans="1:19" s="27" customFormat="1" ht="25.9" customHeight="1" x14ac:dyDescent="0.15">
      <c r="A32" s="17">
        <v>30</v>
      </c>
      <c r="B32" s="6" t="s">
        <v>18</v>
      </c>
      <c r="C32" s="13" t="s">
        <v>108</v>
      </c>
      <c r="D32" s="8">
        <v>231</v>
      </c>
      <c r="E32" s="8" t="s">
        <v>18</v>
      </c>
      <c r="F32" s="8" t="s">
        <v>18</v>
      </c>
      <c r="G32" s="10">
        <v>45</v>
      </c>
      <c r="H32" s="6">
        <v>1</v>
      </c>
      <c r="I32" s="22">
        <f t="shared" si="2"/>
        <v>45</v>
      </c>
      <c r="J32" s="6">
        <v>1</v>
      </c>
      <c r="K32" s="6" t="s">
        <v>18</v>
      </c>
      <c r="L32" s="8">
        <v>4707</v>
      </c>
      <c r="M32" s="10">
        <v>1001</v>
      </c>
      <c r="N32" s="12">
        <v>43987</v>
      </c>
      <c r="O32" s="6" t="s">
        <v>68</v>
      </c>
    </row>
    <row r="33" spans="1:15" s="27" customFormat="1" ht="25.9" customHeight="1" x14ac:dyDescent="0.15">
      <c r="A33" s="17">
        <v>31</v>
      </c>
      <c r="B33" s="6">
        <v>37</v>
      </c>
      <c r="C33" s="13" t="s">
        <v>78</v>
      </c>
      <c r="D33" s="8">
        <v>228.4</v>
      </c>
      <c r="E33" s="8">
        <v>177.7</v>
      </c>
      <c r="F33" s="20">
        <f t="shared" ref="F33:F38" si="3">(D33-E33)/E33</f>
        <v>0.28531232414181218</v>
      </c>
      <c r="G33" s="10">
        <v>37</v>
      </c>
      <c r="H33" s="6">
        <v>2</v>
      </c>
      <c r="I33" s="22">
        <f t="shared" si="2"/>
        <v>18.5</v>
      </c>
      <c r="J33" s="6">
        <v>2</v>
      </c>
      <c r="K33" s="6">
        <v>6</v>
      </c>
      <c r="L33" s="8">
        <v>21994</v>
      </c>
      <c r="M33" s="10">
        <v>2621</v>
      </c>
      <c r="N33" s="12">
        <v>45012</v>
      </c>
      <c r="O33" s="6" t="s">
        <v>68</v>
      </c>
    </row>
    <row r="34" spans="1:15" s="27" customFormat="1" ht="25.9" customHeight="1" x14ac:dyDescent="0.15">
      <c r="A34" s="17">
        <v>32</v>
      </c>
      <c r="B34" s="17">
        <v>21</v>
      </c>
      <c r="C34" s="25" t="s">
        <v>79</v>
      </c>
      <c r="D34" s="19">
        <v>182.9</v>
      </c>
      <c r="E34" s="19">
        <v>883</v>
      </c>
      <c r="F34" s="20">
        <f t="shared" si="3"/>
        <v>-0.79286523216308047</v>
      </c>
      <c r="G34" s="21">
        <v>29</v>
      </c>
      <c r="H34" s="17">
        <v>6</v>
      </c>
      <c r="I34" s="22">
        <f t="shared" si="2"/>
        <v>4.833333333333333</v>
      </c>
      <c r="J34" s="19" t="s">
        <v>18</v>
      </c>
      <c r="K34" s="22">
        <v>6</v>
      </c>
      <c r="L34" s="19">
        <v>43673</v>
      </c>
      <c r="M34" s="21">
        <v>4982</v>
      </c>
      <c r="N34" s="23">
        <v>45012</v>
      </c>
      <c r="O34" s="36" t="s">
        <v>68</v>
      </c>
    </row>
    <row r="35" spans="1:15" ht="25.9" customHeight="1" x14ac:dyDescent="0.15">
      <c r="A35" s="17">
        <v>33</v>
      </c>
      <c r="B35" s="17">
        <v>18</v>
      </c>
      <c r="C35" s="18" t="s">
        <v>27</v>
      </c>
      <c r="D35" s="19">
        <v>151</v>
      </c>
      <c r="E35" s="19">
        <v>1299.43</v>
      </c>
      <c r="F35" s="20">
        <f t="shared" si="3"/>
        <v>-0.8837952025118706</v>
      </c>
      <c r="G35" s="21">
        <v>27</v>
      </c>
      <c r="H35" s="22">
        <v>4</v>
      </c>
      <c r="I35" s="22">
        <f t="shared" si="2"/>
        <v>6.75</v>
      </c>
      <c r="J35" s="17">
        <v>2</v>
      </c>
      <c r="K35" s="22">
        <v>3</v>
      </c>
      <c r="L35" s="19">
        <v>7996.35</v>
      </c>
      <c r="M35" s="21">
        <v>1311</v>
      </c>
      <c r="N35" s="23">
        <v>45030</v>
      </c>
      <c r="O35" s="30" t="s">
        <v>17</v>
      </c>
    </row>
    <row r="36" spans="1:15" ht="25.9" customHeight="1" x14ac:dyDescent="0.15">
      <c r="A36" s="17">
        <v>34</v>
      </c>
      <c r="B36" s="17">
        <v>32</v>
      </c>
      <c r="C36" s="18" t="s">
        <v>32</v>
      </c>
      <c r="D36" s="19">
        <v>140.4</v>
      </c>
      <c r="E36" s="19">
        <v>226.7</v>
      </c>
      <c r="F36" s="20">
        <f t="shared" si="3"/>
        <v>-0.38067931186590204</v>
      </c>
      <c r="G36" s="21">
        <v>16</v>
      </c>
      <c r="H36" s="22">
        <v>4</v>
      </c>
      <c r="I36" s="22">
        <f t="shared" si="2"/>
        <v>4</v>
      </c>
      <c r="J36" s="17">
        <v>2</v>
      </c>
      <c r="K36" s="19" t="s">
        <v>18</v>
      </c>
      <c r="L36" s="19">
        <v>39687.880000000005</v>
      </c>
      <c r="M36" s="21">
        <v>6730</v>
      </c>
      <c r="N36" s="23">
        <v>44678</v>
      </c>
      <c r="O36" s="30" t="s">
        <v>16</v>
      </c>
    </row>
    <row r="37" spans="1:15" ht="25.9" customHeight="1" x14ac:dyDescent="0.15">
      <c r="A37" s="17">
        <v>35</v>
      </c>
      <c r="B37" s="17">
        <v>34</v>
      </c>
      <c r="C37" s="25" t="s">
        <v>75</v>
      </c>
      <c r="D37" s="19">
        <v>136.5</v>
      </c>
      <c r="E37" s="19">
        <v>218.3</v>
      </c>
      <c r="F37" s="20">
        <f t="shared" si="3"/>
        <v>-0.37471369674759508</v>
      </c>
      <c r="G37" s="21">
        <v>39</v>
      </c>
      <c r="H37" s="17">
        <v>2</v>
      </c>
      <c r="I37" s="22">
        <f t="shared" si="2"/>
        <v>19.5</v>
      </c>
      <c r="J37" s="22" t="s">
        <v>18</v>
      </c>
      <c r="K37" s="22">
        <v>6</v>
      </c>
      <c r="L37" s="19">
        <v>9190</v>
      </c>
      <c r="M37" s="21">
        <v>1583</v>
      </c>
      <c r="N37" s="23">
        <v>45012</v>
      </c>
      <c r="O37" s="36" t="s">
        <v>68</v>
      </c>
    </row>
    <row r="38" spans="1:15" ht="25.9" customHeight="1" x14ac:dyDescent="0.15">
      <c r="A38" s="17">
        <v>36</v>
      </c>
      <c r="B38" s="17">
        <v>47</v>
      </c>
      <c r="C38" s="25" t="s">
        <v>72</v>
      </c>
      <c r="D38" s="19">
        <v>112.7</v>
      </c>
      <c r="E38" s="19">
        <v>20.3</v>
      </c>
      <c r="F38" s="20">
        <f t="shared" si="3"/>
        <v>4.5517241379310347</v>
      </c>
      <c r="G38" s="21">
        <v>16</v>
      </c>
      <c r="H38" s="17">
        <v>1</v>
      </c>
      <c r="I38" s="22">
        <f t="shared" si="2"/>
        <v>16</v>
      </c>
      <c r="J38" s="22" t="s">
        <v>18</v>
      </c>
      <c r="K38" s="22" t="s">
        <v>18</v>
      </c>
      <c r="L38" s="19">
        <v>126313</v>
      </c>
      <c r="M38" s="21">
        <v>18967</v>
      </c>
      <c r="N38" s="23">
        <v>44967</v>
      </c>
      <c r="O38" s="36" t="s">
        <v>68</v>
      </c>
    </row>
    <row r="39" spans="1:15" ht="25.9" customHeight="1" x14ac:dyDescent="0.15">
      <c r="A39" s="17">
        <v>37</v>
      </c>
      <c r="B39" s="6" t="s">
        <v>18</v>
      </c>
      <c r="C39" s="13" t="s">
        <v>98</v>
      </c>
      <c r="D39" s="8">
        <v>100</v>
      </c>
      <c r="E39" s="8" t="s">
        <v>18</v>
      </c>
      <c r="F39" s="9" t="s">
        <v>18</v>
      </c>
      <c r="G39" s="10">
        <v>20</v>
      </c>
      <c r="H39" s="6">
        <v>1</v>
      </c>
      <c r="I39" s="11">
        <f t="shared" si="2"/>
        <v>20</v>
      </c>
      <c r="J39" s="6">
        <v>1</v>
      </c>
      <c r="K39" s="11" t="s">
        <v>18</v>
      </c>
      <c r="L39" s="8">
        <v>23273.29</v>
      </c>
      <c r="M39" s="10">
        <v>3984</v>
      </c>
      <c r="N39" s="12">
        <v>44792</v>
      </c>
      <c r="O39" s="34" t="s">
        <v>64</v>
      </c>
    </row>
    <row r="40" spans="1:15" ht="25.9" customHeight="1" x14ac:dyDescent="0.15">
      <c r="A40" s="17">
        <v>38</v>
      </c>
      <c r="B40" s="17">
        <v>31</v>
      </c>
      <c r="C40" s="18" t="s">
        <v>29</v>
      </c>
      <c r="D40" s="19">
        <v>92</v>
      </c>
      <c r="E40" s="19">
        <v>249</v>
      </c>
      <c r="F40" s="20">
        <f>(D40-E40)/E40</f>
        <v>-0.63052208835341361</v>
      </c>
      <c r="G40" s="21">
        <v>20</v>
      </c>
      <c r="H40" s="22">
        <v>1</v>
      </c>
      <c r="I40" s="22">
        <f t="shared" si="2"/>
        <v>20</v>
      </c>
      <c r="J40" s="17">
        <v>1</v>
      </c>
      <c r="K40" s="22">
        <v>6</v>
      </c>
      <c r="L40" s="19">
        <v>11833.6</v>
      </c>
      <c r="M40" s="21">
        <v>2182</v>
      </c>
      <c r="N40" s="23">
        <v>45009</v>
      </c>
      <c r="O40" s="30" t="s">
        <v>12</v>
      </c>
    </row>
    <row r="41" spans="1:15" ht="25.9" customHeight="1" x14ac:dyDescent="0.15">
      <c r="A41" s="17">
        <v>39</v>
      </c>
      <c r="B41" s="17">
        <v>30</v>
      </c>
      <c r="C41" s="18" t="s">
        <v>38</v>
      </c>
      <c r="D41" s="19">
        <v>82.2</v>
      </c>
      <c r="E41" s="19">
        <v>303.60000000000002</v>
      </c>
      <c r="F41" s="20">
        <f>(D41-E41)/E41</f>
        <v>-0.72924901185770752</v>
      </c>
      <c r="G41" s="21">
        <v>12</v>
      </c>
      <c r="H41" s="22">
        <v>1</v>
      </c>
      <c r="I41" s="22">
        <f t="shared" si="2"/>
        <v>12</v>
      </c>
      <c r="J41" s="17">
        <v>1</v>
      </c>
      <c r="K41" s="11" t="s">
        <v>18</v>
      </c>
      <c r="L41" s="19">
        <v>35468.400000000001</v>
      </c>
      <c r="M41" s="21">
        <v>5698</v>
      </c>
      <c r="N41" s="23">
        <v>44960</v>
      </c>
      <c r="O41" s="30" t="s">
        <v>40</v>
      </c>
    </row>
    <row r="42" spans="1:15" ht="25.9" customHeight="1" x14ac:dyDescent="0.15">
      <c r="A42" s="17">
        <v>40</v>
      </c>
      <c r="B42" s="17">
        <v>24</v>
      </c>
      <c r="C42" s="25" t="s">
        <v>80</v>
      </c>
      <c r="D42" s="19">
        <v>72.099999999999994</v>
      </c>
      <c r="E42" s="19">
        <v>621.20000000000005</v>
      </c>
      <c r="F42" s="20">
        <f>(D42-E42)/E42</f>
        <v>-0.88393432066967159</v>
      </c>
      <c r="G42" s="21">
        <v>10</v>
      </c>
      <c r="H42" s="17">
        <v>1</v>
      </c>
      <c r="I42" s="22">
        <f t="shared" si="2"/>
        <v>10</v>
      </c>
      <c r="J42" s="19" t="s">
        <v>18</v>
      </c>
      <c r="K42" s="22">
        <v>6</v>
      </c>
      <c r="L42" s="19">
        <v>8622</v>
      </c>
      <c r="M42" s="21">
        <v>1585</v>
      </c>
      <c r="N42" s="23">
        <v>45012</v>
      </c>
      <c r="O42" s="36" t="s">
        <v>68</v>
      </c>
    </row>
    <row r="43" spans="1:15" ht="25.9" customHeight="1" x14ac:dyDescent="0.15">
      <c r="A43" s="17">
        <v>41</v>
      </c>
      <c r="B43" s="6" t="s">
        <v>18</v>
      </c>
      <c r="C43" s="13" t="s">
        <v>92</v>
      </c>
      <c r="D43" s="8">
        <v>60</v>
      </c>
      <c r="E43" s="8" t="s">
        <v>18</v>
      </c>
      <c r="F43" s="9" t="s">
        <v>18</v>
      </c>
      <c r="G43" s="10">
        <v>19</v>
      </c>
      <c r="H43" s="6">
        <v>1</v>
      </c>
      <c r="I43" s="11">
        <f t="shared" si="2"/>
        <v>19</v>
      </c>
      <c r="J43" s="6">
        <v>1</v>
      </c>
      <c r="K43" s="11" t="s">
        <v>18</v>
      </c>
      <c r="L43" s="8">
        <v>33405.53</v>
      </c>
      <c r="M43" s="10">
        <v>5110</v>
      </c>
      <c r="N43" s="12">
        <v>45016</v>
      </c>
      <c r="O43" s="36" t="s">
        <v>12</v>
      </c>
    </row>
    <row r="44" spans="1:15" ht="25.9" customHeight="1" x14ac:dyDescent="0.15">
      <c r="A44" s="17">
        <v>42</v>
      </c>
      <c r="B44" s="6" t="s">
        <v>18</v>
      </c>
      <c r="C44" s="13" t="s">
        <v>93</v>
      </c>
      <c r="D44" s="8">
        <v>57</v>
      </c>
      <c r="E44" s="8" t="s">
        <v>18</v>
      </c>
      <c r="F44" s="9" t="s">
        <v>18</v>
      </c>
      <c r="G44" s="10">
        <v>19</v>
      </c>
      <c r="H44" s="6">
        <v>1</v>
      </c>
      <c r="I44" s="11">
        <f t="shared" si="2"/>
        <v>19</v>
      </c>
      <c r="J44" s="6">
        <v>1</v>
      </c>
      <c r="K44" s="11" t="s">
        <v>18</v>
      </c>
      <c r="L44" s="8">
        <v>48868.7</v>
      </c>
      <c r="M44" s="10">
        <v>7934</v>
      </c>
      <c r="N44" s="12">
        <v>44981</v>
      </c>
      <c r="O44" s="36" t="s">
        <v>12</v>
      </c>
    </row>
    <row r="45" spans="1:15" ht="25.9" customHeight="1" x14ac:dyDescent="0.15">
      <c r="A45" s="17">
        <v>43</v>
      </c>
      <c r="B45" s="9" t="s">
        <v>31</v>
      </c>
      <c r="C45" s="13" t="s">
        <v>88</v>
      </c>
      <c r="D45" s="28">
        <v>38.200000000000003</v>
      </c>
      <c r="E45" s="8" t="s">
        <v>18</v>
      </c>
      <c r="F45" s="9" t="s">
        <v>18</v>
      </c>
      <c r="G45" s="29">
        <v>6</v>
      </c>
      <c r="H45" s="10">
        <v>7</v>
      </c>
      <c r="I45" s="11">
        <f t="shared" si="2"/>
        <v>0.8571428571428571</v>
      </c>
      <c r="J45" s="10">
        <v>3</v>
      </c>
      <c r="K45" s="11">
        <v>1</v>
      </c>
      <c r="L45" s="32">
        <v>136</v>
      </c>
      <c r="M45" s="33">
        <v>22</v>
      </c>
      <c r="N45" s="12">
        <v>45044</v>
      </c>
      <c r="O45" s="36" t="s">
        <v>89</v>
      </c>
    </row>
    <row r="46" spans="1:15" ht="25.9" customHeight="1" x14ac:dyDescent="0.15">
      <c r="A46" s="17">
        <v>44</v>
      </c>
      <c r="B46" s="17">
        <v>35</v>
      </c>
      <c r="C46" s="25" t="s">
        <v>76</v>
      </c>
      <c r="D46" s="19">
        <v>21.4</v>
      </c>
      <c r="E46" s="19">
        <v>208</v>
      </c>
      <c r="F46" s="20">
        <f>(D46-E46)/E46</f>
        <v>-0.89711538461538454</v>
      </c>
      <c r="G46" s="21">
        <v>5</v>
      </c>
      <c r="H46" s="17">
        <v>1</v>
      </c>
      <c r="I46" s="22">
        <f t="shared" si="2"/>
        <v>5</v>
      </c>
      <c r="J46" s="22" t="s">
        <v>18</v>
      </c>
      <c r="K46" s="22">
        <v>6</v>
      </c>
      <c r="L46" s="19">
        <v>19002</v>
      </c>
      <c r="M46" s="21">
        <v>2141</v>
      </c>
      <c r="N46" s="23">
        <v>45012</v>
      </c>
      <c r="O46" s="36" t="s">
        <v>68</v>
      </c>
    </row>
    <row r="47" spans="1:15" ht="25.9" customHeight="1" x14ac:dyDescent="0.15">
      <c r="A47" s="17">
        <v>45</v>
      </c>
      <c r="B47" s="6" t="s">
        <v>18</v>
      </c>
      <c r="C47" s="13" t="s">
        <v>101</v>
      </c>
      <c r="D47" s="8">
        <v>20</v>
      </c>
      <c r="E47" s="8" t="s">
        <v>18</v>
      </c>
      <c r="F47" s="9" t="s">
        <v>18</v>
      </c>
      <c r="G47" s="10">
        <v>4</v>
      </c>
      <c r="H47" s="6">
        <v>1</v>
      </c>
      <c r="I47" s="11">
        <f t="shared" si="2"/>
        <v>4</v>
      </c>
      <c r="J47" s="6" t="s">
        <v>18</v>
      </c>
      <c r="K47" s="6" t="s">
        <v>18</v>
      </c>
      <c r="L47" s="8">
        <v>664</v>
      </c>
      <c r="M47" s="10">
        <v>136</v>
      </c>
      <c r="N47" s="12">
        <v>45012</v>
      </c>
      <c r="O47" s="34" t="s">
        <v>68</v>
      </c>
    </row>
    <row r="48" spans="1:15" ht="25.9" customHeight="1" x14ac:dyDescent="0.15">
      <c r="A48" s="17">
        <v>46</v>
      </c>
      <c r="B48" s="6">
        <v>39</v>
      </c>
      <c r="C48" s="13" t="s">
        <v>73</v>
      </c>
      <c r="D48" s="8">
        <v>15</v>
      </c>
      <c r="E48" s="8">
        <v>85.5</v>
      </c>
      <c r="F48" s="20">
        <f>(D48-E48)/E48</f>
        <v>-0.82456140350877194</v>
      </c>
      <c r="G48" s="6">
        <v>2</v>
      </c>
      <c r="H48" s="6">
        <v>1</v>
      </c>
      <c r="I48" s="22">
        <f t="shared" si="2"/>
        <v>2</v>
      </c>
      <c r="J48" s="6">
        <v>1</v>
      </c>
      <c r="K48" s="6">
        <v>6</v>
      </c>
      <c r="L48" s="8">
        <v>959</v>
      </c>
      <c r="M48" s="10">
        <v>193</v>
      </c>
      <c r="N48" s="12">
        <v>45012</v>
      </c>
      <c r="O48" s="34" t="s">
        <v>68</v>
      </c>
    </row>
    <row r="49" spans="1:15" ht="25.9" customHeight="1" x14ac:dyDescent="0.15">
      <c r="A49" s="17">
        <v>47</v>
      </c>
      <c r="B49" s="17">
        <v>41</v>
      </c>
      <c r="C49" s="25" t="s">
        <v>81</v>
      </c>
      <c r="D49" s="19">
        <v>13</v>
      </c>
      <c r="E49" s="19">
        <v>64.5</v>
      </c>
      <c r="F49" s="20">
        <f>(D49-E49)/E49</f>
        <v>-0.79844961240310075</v>
      </c>
      <c r="G49" s="21">
        <v>4</v>
      </c>
      <c r="H49" s="17">
        <v>2</v>
      </c>
      <c r="I49" s="22">
        <f t="shared" si="2"/>
        <v>2</v>
      </c>
      <c r="J49" s="22" t="s">
        <v>18</v>
      </c>
      <c r="K49" s="22" t="s">
        <v>18</v>
      </c>
      <c r="L49" s="19">
        <v>736</v>
      </c>
      <c r="M49" s="21">
        <v>150</v>
      </c>
      <c r="N49" s="23">
        <v>45012</v>
      </c>
      <c r="O49" s="36" t="s">
        <v>68</v>
      </c>
    </row>
    <row r="50" spans="1:15" ht="25.9" customHeight="1" x14ac:dyDescent="0.2">
      <c r="A50" s="44" t="s">
        <v>85</v>
      </c>
      <c r="B50" s="41"/>
      <c r="C50" s="46" t="s">
        <v>109</v>
      </c>
      <c r="D50" s="47">
        <f>SUBTOTAL(109,Table132[Pajamos 
(GBO)])</f>
        <v>307331.82000000018</v>
      </c>
      <c r="E50" s="47" t="s">
        <v>104</v>
      </c>
      <c r="F50" s="42">
        <f>(D50-E50)/E50</f>
        <v>0.14012397981896491</v>
      </c>
      <c r="G50" s="43">
        <f>SUBTOTAL(109,Table132[Žiūrovų sk. 
(ADM)])</f>
        <v>51668</v>
      </c>
      <c r="H50" s="44"/>
      <c r="I50" s="44"/>
      <c r="J50" s="48"/>
      <c r="K50" s="48"/>
      <c r="L50" s="44"/>
      <c r="M50" s="44"/>
      <c r="N50" s="44"/>
      <c r="O50" s="44" t="s">
        <v>85</v>
      </c>
    </row>
    <row r="51" spans="1:15" ht="25.9" hidden="1" customHeight="1" x14ac:dyDescent="0.15">
      <c r="D51" s="37"/>
      <c r="E51" s="37"/>
      <c r="F51" s="3"/>
      <c r="K51" s="38"/>
      <c r="L51" s="2"/>
      <c r="N51" s="39"/>
      <c r="O51" s="40"/>
    </row>
    <row r="52" spans="1:15" ht="25.9" hidden="1" customHeight="1" x14ac:dyDescent="0.15">
      <c r="D52" s="37"/>
      <c r="E52" s="37"/>
      <c r="F52" s="3"/>
      <c r="K52" s="38"/>
      <c r="L52" s="37"/>
      <c r="N52" s="39"/>
      <c r="O52" s="40"/>
    </row>
    <row r="53" spans="1:15" hidden="1" x14ac:dyDescent="0.15">
      <c r="D53" s="37"/>
      <c r="E53" s="37"/>
      <c r="F53" s="3"/>
      <c r="K53" s="38"/>
      <c r="L53" s="37"/>
      <c r="N53" s="39"/>
      <c r="O53" s="40"/>
    </row>
    <row r="54" spans="1:15" hidden="1" x14ac:dyDescent="0.15">
      <c r="D54" s="37"/>
      <c r="E54" s="37"/>
      <c r="F54" s="3"/>
      <c r="L54" s="37"/>
      <c r="N54" s="39"/>
      <c r="O54" s="40"/>
    </row>
    <row r="55" spans="1:15" hidden="1" x14ac:dyDescent="0.15">
      <c r="D55" s="37"/>
      <c r="E55" s="37"/>
      <c r="F55" s="3"/>
      <c r="L55" s="37"/>
      <c r="N55" s="39"/>
      <c r="O55" s="40"/>
    </row>
    <row r="56" spans="1:15" hidden="1" x14ac:dyDescent="0.15">
      <c r="D56" s="37"/>
      <c r="E56" s="37"/>
      <c r="N56" s="39"/>
    </row>
    <row r="57" spans="1:15" hidden="1" x14ac:dyDescent="0.15">
      <c r="D57" s="37"/>
      <c r="E57" s="37"/>
      <c r="N57" s="39"/>
    </row>
    <row r="58" spans="1:15" hidden="1" x14ac:dyDescent="0.15">
      <c r="D58" s="37"/>
      <c r="E58" s="37"/>
    </row>
    <row r="59" spans="1:15" hidden="1" x14ac:dyDescent="0.15">
      <c r="D59" s="37"/>
      <c r="E59" s="37"/>
    </row>
    <row r="60" spans="1:15" hidden="1" x14ac:dyDescent="0.15">
      <c r="D60" s="37"/>
      <c r="E60" s="37"/>
    </row>
    <row r="61" spans="1:15" hidden="1" x14ac:dyDescent="0.15">
      <c r="D61" s="37"/>
      <c r="E61" s="37"/>
    </row>
    <row r="62" spans="1:15" hidden="1" x14ac:dyDescent="0.15">
      <c r="D62" s="37"/>
      <c r="E62" s="37"/>
    </row>
    <row r="63" spans="1:15" hidden="1" x14ac:dyDescent="0.15">
      <c r="D63" s="37"/>
      <c r="E63" s="37"/>
    </row>
    <row r="64" spans="1:15" hidden="1" x14ac:dyDescent="0.15">
      <c r="D64" s="37"/>
      <c r="E64" s="37"/>
    </row>
    <row r="65" spans="4:5" hidden="1" x14ac:dyDescent="0.15">
      <c r="D65" s="37"/>
      <c r="E65" s="37"/>
    </row>
    <row r="66" spans="4:5" hidden="1" x14ac:dyDescent="0.15">
      <c r="D66" s="37"/>
      <c r="E66" s="37"/>
    </row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tableParts count="1">
    <tablePart r:id="rId2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BA373-81AB-43BB-AE96-6182F255C705}">
  <sheetPr>
    <pageSetUpPr fitToPage="1"/>
  </sheetPr>
  <dimension ref="A1:XFC69"/>
  <sheetViews>
    <sheetView zoomScale="60" zoomScaleNormal="60" workbookViewId="0">
      <selection activeCell="D3" sqref="D3:D51"/>
    </sheetView>
  </sheetViews>
  <sheetFormatPr defaultColWidth="0" defaultRowHeight="0" customHeight="1" zeroHeight="1" x14ac:dyDescent="0.15"/>
  <cols>
    <col min="1" max="2" width="4.7109375" style="44" customWidth="1"/>
    <col min="3" max="3" width="30.7109375" style="44" customWidth="1"/>
    <col min="4" max="14" width="20.7109375" style="44" customWidth="1"/>
    <col min="15" max="15" width="30.7109375" style="44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103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14" t="s">
        <v>55</v>
      </c>
      <c r="C2" s="15" t="s">
        <v>0</v>
      </c>
      <c r="D2" s="15" t="s">
        <v>1</v>
      </c>
      <c r="E2" s="15" t="s">
        <v>49</v>
      </c>
      <c r="F2" s="15" t="s">
        <v>2</v>
      </c>
      <c r="G2" s="15" t="s">
        <v>3</v>
      </c>
      <c r="H2" s="15" t="s">
        <v>4</v>
      </c>
      <c r="I2" s="15" t="s">
        <v>28</v>
      </c>
      <c r="J2" s="15" t="s">
        <v>10</v>
      </c>
      <c r="K2" s="15" t="s">
        <v>5</v>
      </c>
      <c r="L2" s="15" t="s">
        <v>6</v>
      </c>
      <c r="M2" s="15" t="s">
        <v>9</v>
      </c>
      <c r="N2" s="15" t="s">
        <v>8</v>
      </c>
      <c r="O2" s="16" t="s">
        <v>7</v>
      </c>
    </row>
    <row r="3" spans="1:18" s="24" customFormat="1" ht="25.9" customHeight="1" x14ac:dyDescent="0.2">
      <c r="A3" s="17">
        <v>1</v>
      </c>
      <c r="B3" s="17" t="s">
        <v>31</v>
      </c>
      <c r="C3" s="18" t="s">
        <v>50</v>
      </c>
      <c r="D3" s="19">
        <v>87940.32</v>
      </c>
      <c r="E3" s="17" t="s">
        <v>18</v>
      </c>
      <c r="F3" s="17" t="s">
        <v>18</v>
      </c>
      <c r="G3" s="21">
        <v>17517</v>
      </c>
      <c r="H3" s="17">
        <v>450</v>
      </c>
      <c r="I3" s="22">
        <f>G3/H3</f>
        <v>38.926666666666669</v>
      </c>
      <c r="J3" s="17">
        <v>16</v>
      </c>
      <c r="K3" s="17">
        <v>1</v>
      </c>
      <c r="L3" s="19">
        <v>98481.919999999998</v>
      </c>
      <c r="M3" s="21">
        <v>19680</v>
      </c>
      <c r="N3" s="23">
        <v>45037</v>
      </c>
      <c r="O3" s="30" t="s">
        <v>51</v>
      </c>
    </row>
    <row r="4" spans="1:18" s="24" customFormat="1" ht="25.9" customHeight="1" x14ac:dyDescent="0.2">
      <c r="A4" s="17">
        <v>2</v>
      </c>
      <c r="B4" s="17">
        <v>1</v>
      </c>
      <c r="C4" s="18" t="s">
        <v>11</v>
      </c>
      <c r="D4" s="19">
        <v>55044.17</v>
      </c>
      <c r="E4" s="19">
        <v>143774.03</v>
      </c>
      <c r="F4" s="20">
        <f>(D4-E4)/E4</f>
        <v>-0.61714803431468113</v>
      </c>
      <c r="G4" s="21">
        <v>9990</v>
      </c>
      <c r="H4" s="22">
        <v>376</v>
      </c>
      <c r="I4" s="22">
        <f>G4/H4</f>
        <v>26.569148936170212</v>
      </c>
      <c r="J4" s="17">
        <v>26</v>
      </c>
      <c r="K4" s="17">
        <v>3</v>
      </c>
      <c r="L4" s="19">
        <v>375533.25</v>
      </c>
      <c r="M4" s="21">
        <v>68091</v>
      </c>
      <c r="N4" s="23">
        <v>45023</v>
      </c>
      <c r="O4" s="30" t="s">
        <v>61</v>
      </c>
    </row>
    <row r="5" spans="1:18" s="24" customFormat="1" ht="25.9" customHeight="1" x14ac:dyDescent="0.2">
      <c r="A5" s="17">
        <v>3</v>
      </c>
      <c r="B5" s="17" t="s">
        <v>31</v>
      </c>
      <c r="C5" s="25" t="s">
        <v>53</v>
      </c>
      <c r="D5" s="28">
        <v>31145.5</v>
      </c>
      <c r="E5" s="17" t="s">
        <v>18</v>
      </c>
      <c r="F5" s="17" t="s">
        <v>18</v>
      </c>
      <c r="G5" s="29">
        <v>4496</v>
      </c>
      <c r="H5" s="21">
        <v>157</v>
      </c>
      <c r="I5" s="22">
        <f>G5/H5</f>
        <v>28.636942675159236</v>
      </c>
      <c r="J5" s="21">
        <v>14</v>
      </c>
      <c r="K5" s="21">
        <v>1</v>
      </c>
      <c r="L5" s="29">
        <v>33350.93</v>
      </c>
      <c r="M5" s="29">
        <v>4788</v>
      </c>
      <c r="N5" s="23">
        <v>45037</v>
      </c>
      <c r="O5" s="30" t="s">
        <v>14</v>
      </c>
      <c r="R5" s="17"/>
    </row>
    <row r="6" spans="1:18" s="24" customFormat="1" ht="25.9" customHeight="1" x14ac:dyDescent="0.2">
      <c r="A6" s="17">
        <v>4</v>
      </c>
      <c r="B6" s="17">
        <v>2</v>
      </c>
      <c r="C6" s="18" t="s">
        <v>19</v>
      </c>
      <c r="D6" s="19">
        <v>14794.01</v>
      </c>
      <c r="E6" s="19">
        <v>42513.52</v>
      </c>
      <c r="F6" s="20">
        <f>(D6-E6)/E6</f>
        <v>-0.65201634679979448</v>
      </c>
      <c r="G6" s="21">
        <v>2085</v>
      </c>
      <c r="H6" s="22">
        <v>114</v>
      </c>
      <c r="I6" s="22">
        <f t="shared" ref="I6:I9" si="0">G6/H6</f>
        <v>18.289473684210527</v>
      </c>
      <c r="J6" s="17">
        <v>9</v>
      </c>
      <c r="K6" s="17">
        <v>3</v>
      </c>
      <c r="L6" s="19">
        <v>112678.77</v>
      </c>
      <c r="M6" s="21">
        <v>16351</v>
      </c>
      <c r="N6" s="23">
        <v>45023</v>
      </c>
      <c r="O6" s="30" t="s">
        <v>12</v>
      </c>
      <c r="R6" s="17"/>
    </row>
    <row r="7" spans="1:18" s="24" customFormat="1" ht="25.9" customHeight="1" x14ac:dyDescent="0.2">
      <c r="A7" s="17">
        <v>5</v>
      </c>
      <c r="B7" s="6" t="s">
        <v>57</v>
      </c>
      <c r="C7" s="13" t="s">
        <v>66</v>
      </c>
      <c r="D7" s="32">
        <v>12600.27</v>
      </c>
      <c r="E7" s="8" t="s">
        <v>18</v>
      </c>
      <c r="F7" s="9" t="s">
        <v>18</v>
      </c>
      <c r="G7" s="33">
        <v>1903</v>
      </c>
      <c r="H7" s="10">
        <v>5</v>
      </c>
      <c r="I7" s="22">
        <f t="shared" si="0"/>
        <v>380.6</v>
      </c>
      <c r="J7" s="10">
        <v>1</v>
      </c>
      <c r="K7" s="10">
        <v>0</v>
      </c>
      <c r="L7" s="33">
        <v>12600.27</v>
      </c>
      <c r="M7" s="33">
        <v>1903</v>
      </c>
      <c r="N7" s="12" t="s">
        <v>59</v>
      </c>
      <c r="O7" s="34" t="s">
        <v>61</v>
      </c>
      <c r="R7" s="17"/>
    </row>
    <row r="8" spans="1:18" s="24" customFormat="1" ht="25.9" customHeight="1" x14ac:dyDescent="0.2">
      <c r="A8" s="17">
        <v>6</v>
      </c>
      <c r="B8" s="17">
        <v>4</v>
      </c>
      <c r="C8" s="18" t="s">
        <v>21</v>
      </c>
      <c r="D8" s="19">
        <v>11220.69</v>
      </c>
      <c r="E8" s="19">
        <v>25912.67</v>
      </c>
      <c r="F8" s="20">
        <f>(D8-E8)/E8</f>
        <v>-0.56698055430027083</v>
      </c>
      <c r="G8" s="21">
        <v>1993</v>
      </c>
      <c r="H8" s="22">
        <v>128</v>
      </c>
      <c r="I8" s="22">
        <f t="shared" si="0"/>
        <v>15.5703125</v>
      </c>
      <c r="J8" s="17">
        <v>12</v>
      </c>
      <c r="K8" s="17">
        <v>2</v>
      </c>
      <c r="L8" s="19">
        <v>40740.75</v>
      </c>
      <c r="M8" s="21">
        <v>6498</v>
      </c>
      <c r="N8" s="23">
        <v>45030</v>
      </c>
      <c r="O8" s="30" t="s">
        <v>14</v>
      </c>
      <c r="R8" s="17"/>
    </row>
    <row r="9" spans="1:18" s="24" customFormat="1" ht="25.9" customHeight="1" x14ac:dyDescent="0.2">
      <c r="A9" s="17">
        <v>7</v>
      </c>
      <c r="B9" s="17">
        <v>3</v>
      </c>
      <c r="C9" s="18" t="s">
        <v>20</v>
      </c>
      <c r="D9" s="19">
        <v>10630.71</v>
      </c>
      <c r="E9" s="19">
        <v>27003.47</v>
      </c>
      <c r="F9" s="20">
        <f>(D9-E9)/E9</f>
        <v>-0.6063205950938898</v>
      </c>
      <c r="G9" s="21">
        <v>1561</v>
      </c>
      <c r="H9" s="22">
        <v>85</v>
      </c>
      <c r="I9" s="22">
        <f t="shared" si="0"/>
        <v>18.36470588235294</v>
      </c>
      <c r="J9" s="17">
        <v>8</v>
      </c>
      <c r="K9" s="17">
        <v>5</v>
      </c>
      <c r="L9" s="19">
        <v>308137.98</v>
      </c>
      <c r="M9" s="21">
        <v>42242</v>
      </c>
      <c r="N9" s="23">
        <v>45009</v>
      </c>
      <c r="O9" s="30" t="s">
        <v>13</v>
      </c>
      <c r="R9" s="17"/>
    </row>
    <row r="10" spans="1:18" s="24" customFormat="1" ht="25.9" customHeight="1" x14ac:dyDescent="0.2">
      <c r="A10" s="17">
        <v>8</v>
      </c>
      <c r="B10" s="17">
        <v>5</v>
      </c>
      <c r="C10" s="18" t="s">
        <v>22</v>
      </c>
      <c r="D10" s="19">
        <v>9254</v>
      </c>
      <c r="E10" s="19">
        <v>25601</v>
      </c>
      <c r="F10" s="20">
        <f>(D10-E10)/E10</f>
        <v>-0.63852974493183856</v>
      </c>
      <c r="G10" s="21">
        <v>1455</v>
      </c>
      <c r="H10" s="22" t="s">
        <v>18</v>
      </c>
      <c r="I10" s="22" t="s">
        <v>18</v>
      </c>
      <c r="J10" s="17">
        <v>15</v>
      </c>
      <c r="K10" s="17">
        <v>2</v>
      </c>
      <c r="L10" s="19">
        <v>43137</v>
      </c>
      <c r="M10" s="21">
        <v>6528</v>
      </c>
      <c r="N10" s="23">
        <v>45030</v>
      </c>
      <c r="O10" s="30" t="s">
        <v>15</v>
      </c>
      <c r="R10" s="17"/>
    </row>
    <row r="11" spans="1:18" s="24" customFormat="1" ht="25.9" customHeight="1" x14ac:dyDescent="0.2">
      <c r="A11" s="17">
        <v>9</v>
      </c>
      <c r="B11" s="17" t="s">
        <v>31</v>
      </c>
      <c r="C11" s="18" t="s">
        <v>56</v>
      </c>
      <c r="D11" s="19">
        <v>6131</v>
      </c>
      <c r="E11" s="17" t="s">
        <v>18</v>
      </c>
      <c r="F11" s="17" t="s">
        <v>18</v>
      </c>
      <c r="G11" s="21">
        <v>1246</v>
      </c>
      <c r="H11" s="17" t="s">
        <v>18</v>
      </c>
      <c r="I11" s="22" t="s">
        <v>18</v>
      </c>
      <c r="J11" s="17">
        <v>18</v>
      </c>
      <c r="K11" s="17">
        <v>1</v>
      </c>
      <c r="L11" s="19">
        <v>6131</v>
      </c>
      <c r="M11" s="21">
        <v>1246</v>
      </c>
      <c r="N11" s="23">
        <v>45037</v>
      </c>
      <c r="O11" s="30" t="s">
        <v>30</v>
      </c>
      <c r="R11" s="17"/>
    </row>
    <row r="12" spans="1:18" s="24" customFormat="1" ht="25.9" customHeight="1" x14ac:dyDescent="0.2">
      <c r="A12" s="17">
        <v>10</v>
      </c>
      <c r="B12" s="17">
        <v>6</v>
      </c>
      <c r="C12" s="18" t="s">
        <v>23</v>
      </c>
      <c r="D12" s="19">
        <v>5959.23</v>
      </c>
      <c r="E12" s="19">
        <v>23128.560000000001</v>
      </c>
      <c r="F12" s="20">
        <f>(D12-E12)/E12</f>
        <v>-0.74234323278232628</v>
      </c>
      <c r="G12" s="21">
        <v>1014</v>
      </c>
      <c r="H12" s="22">
        <v>78</v>
      </c>
      <c r="I12" s="22">
        <f>G12/H12</f>
        <v>13</v>
      </c>
      <c r="J12" s="17">
        <v>9</v>
      </c>
      <c r="K12" s="17">
        <v>2</v>
      </c>
      <c r="L12" s="19">
        <v>29087.79</v>
      </c>
      <c r="M12" s="21">
        <v>4548</v>
      </c>
      <c r="N12" s="23">
        <v>45030</v>
      </c>
      <c r="O12" s="30" t="s">
        <v>12</v>
      </c>
      <c r="R12" s="17"/>
    </row>
    <row r="13" spans="1:18" s="24" customFormat="1" ht="25.9" customHeight="1" x14ac:dyDescent="0.2">
      <c r="A13" s="17">
        <v>11</v>
      </c>
      <c r="B13" s="17">
        <v>10</v>
      </c>
      <c r="C13" s="18" t="s">
        <v>26</v>
      </c>
      <c r="D13" s="19">
        <v>3663.59</v>
      </c>
      <c r="E13" s="19">
        <v>7256.86</v>
      </c>
      <c r="F13" s="20">
        <f>(D13-E13)/E13</f>
        <v>-0.49515492926692806</v>
      </c>
      <c r="G13" s="21">
        <v>576</v>
      </c>
      <c r="H13" s="22">
        <v>32</v>
      </c>
      <c r="I13" s="22">
        <f t="shared" ref="I13:I24" si="1">G13/H13</f>
        <v>18</v>
      </c>
      <c r="J13" s="17">
        <v>4</v>
      </c>
      <c r="K13" s="17">
        <v>4</v>
      </c>
      <c r="L13" s="19">
        <v>61490.49</v>
      </c>
      <c r="M13" s="21">
        <v>9264</v>
      </c>
      <c r="N13" s="23">
        <v>45016</v>
      </c>
      <c r="O13" s="30" t="s">
        <v>62</v>
      </c>
      <c r="R13" s="17"/>
    </row>
    <row r="14" spans="1:18" s="24" customFormat="1" ht="25.9" customHeight="1" x14ac:dyDescent="0.2">
      <c r="A14" s="17">
        <v>12</v>
      </c>
      <c r="B14" s="17">
        <v>8</v>
      </c>
      <c r="C14" s="18" t="s">
        <v>25</v>
      </c>
      <c r="D14" s="19">
        <v>1944.54</v>
      </c>
      <c r="E14" s="19">
        <v>10453.030000000001</v>
      </c>
      <c r="F14" s="20">
        <f>(D14-E14)/E14</f>
        <v>-0.81397355599285581</v>
      </c>
      <c r="G14" s="21">
        <v>289</v>
      </c>
      <c r="H14" s="22">
        <v>24</v>
      </c>
      <c r="I14" s="22">
        <f t="shared" si="1"/>
        <v>12.041666666666666</v>
      </c>
      <c r="J14" s="17">
        <v>5</v>
      </c>
      <c r="K14" s="17">
        <v>3</v>
      </c>
      <c r="L14" s="19">
        <v>33044.51</v>
      </c>
      <c r="M14" s="21">
        <v>5035</v>
      </c>
      <c r="N14" s="23">
        <v>45023</v>
      </c>
      <c r="O14" s="30" t="s">
        <v>16</v>
      </c>
      <c r="R14" s="17"/>
    </row>
    <row r="15" spans="1:18" s="24" customFormat="1" ht="25.9" customHeight="1" x14ac:dyDescent="0.2">
      <c r="A15" s="17">
        <v>13</v>
      </c>
      <c r="B15" s="17" t="s">
        <v>31</v>
      </c>
      <c r="C15" s="18" t="s">
        <v>52</v>
      </c>
      <c r="D15" s="28">
        <v>1937.53</v>
      </c>
      <c r="E15" s="19" t="s">
        <v>18</v>
      </c>
      <c r="F15" s="20" t="s">
        <v>18</v>
      </c>
      <c r="G15" s="29">
        <v>400</v>
      </c>
      <c r="H15" s="21">
        <v>50</v>
      </c>
      <c r="I15" s="22">
        <f t="shared" si="1"/>
        <v>8</v>
      </c>
      <c r="J15" s="21">
        <v>13</v>
      </c>
      <c r="K15" s="21">
        <v>1</v>
      </c>
      <c r="L15" s="29">
        <v>5076.6099999999997</v>
      </c>
      <c r="M15" s="29">
        <v>866</v>
      </c>
      <c r="N15" s="23">
        <v>45037</v>
      </c>
      <c r="O15" s="30" t="s">
        <v>16</v>
      </c>
      <c r="R15" s="17"/>
    </row>
    <row r="16" spans="1:18" s="24" customFormat="1" ht="25.9" customHeight="1" x14ac:dyDescent="0.2">
      <c r="A16" s="17">
        <v>14</v>
      </c>
      <c r="B16" s="6" t="s">
        <v>57</v>
      </c>
      <c r="C16" s="7" t="s">
        <v>60</v>
      </c>
      <c r="D16" s="8">
        <v>1581.77</v>
      </c>
      <c r="E16" s="8" t="s">
        <v>18</v>
      </c>
      <c r="F16" s="9" t="s">
        <v>18</v>
      </c>
      <c r="G16" s="10">
        <v>218</v>
      </c>
      <c r="H16" s="11">
        <v>7</v>
      </c>
      <c r="I16" s="22">
        <f t="shared" si="1"/>
        <v>31.142857142857142</v>
      </c>
      <c r="J16" s="6">
        <v>7</v>
      </c>
      <c r="K16" s="6">
        <v>0</v>
      </c>
      <c r="L16" s="8">
        <v>1581.77</v>
      </c>
      <c r="M16" s="10">
        <v>218</v>
      </c>
      <c r="N16" s="12" t="s">
        <v>59</v>
      </c>
      <c r="O16" s="31" t="s">
        <v>13</v>
      </c>
      <c r="R16" s="17"/>
    </row>
    <row r="17" spans="1:19" s="24" customFormat="1" ht="25.9" customHeight="1" x14ac:dyDescent="0.2">
      <c r="A17" s="17">
        <v>15</v>
      </c>
      <c r="B17" s="17">
        <v>12</v>
      </c>
      <c r="C17" s="18" t="s">
        <v>41</v>
      </c>
      <c r="D17" s="19">
        <v>1508.4</v>
      </c>
      <c r="E17" s="19">
        <v>5373</v>
      </c>
      <c r="F17" s="20">
        <f t="shared" ref="F17:F23" si="2">(D17-E17)/E17</f>
        <v>-0.71926298157453938</v>
      </c>
      <c r="G17" s="21">
        <v>225</v>
      </c>
      <c r="H17" s="22">
        <v>31</v>
      </c>
      <c r="I17" s="22">
        <f t="shared" si="1"/>
        <v>7.258064516129032</v>
      </c>
      <c r="J17" s="17">
        <v>4</v>
      </c>
      <c r="K17" s="17">
        <v>2</v>
      </c>
      <c r="L17" s="19">
        <v>7051.31</v>
      </c>
      <c r="M17" s="21">
        <v>1182</v>
      </c>
      <c r="N17" s="23">
        <v>45030</v>
      </c>
      <c r="O17" s="30" t="s">
        <v>46</v>
      </c>
      <c r="R17" s="17"/>
    </row>
    <row r="18" spans="1:19" s="24" customFormat="1" ht="25.9" customHeight="1" x14ac:dyDescent="0.2">
      <c r="A18" s="17">
        <v>16</v>
      </c>
      <c r="B18" s="6">
        <v>15</v>
      </c>
      <c r="C18" s="13" t="s">
        <v>67</v>
      </c>
      <c r="D18" s="32">
        <v>1479.9</v>
      </c>
      <c r="E18" s="32">
        <v>2971</v>
      </c>
      <c r="F18" s="20">
        <f t="shared" si="2"/>
        <v>-0.50188488724335234</v>
      </c>
      <c r="G18" s="33">
        <v>234</v>
      </c>
      <c r="H18" s="10">
        <v>14</v>
      </c>
      <c r="I18" s="22">
        <f t="shared" si="1"/>
        <v>16.714285714285715</v>
      </c>
      <c r="J18" s="10">
        <v>5</v>
      </c>
      <c r="K18" s="10">
        <v>5</v>
      </c>
      <c r="L18" s="33">
        <v>53093</v>
      </c>
      <c r="M18" s="33">
        <v>6952</v>
      </c>
      <c r="N18" s="12">
        <v>45012</v>
      </c>
      <c r="O18" s="34" t="s">
        <v>68</v>
      </c>
      <c r="R18" s="17"/>
    </row>
    <row r="19" spans="1:19" s="24" customFormat="1" ht="25.9" customHeight="1" x14ac:dyDescent="0.2">
      <c r="A19" s="17">
        <v>17</v>
      </c>
      <c r="B19" s="17">
        <v>7</v>
      </c>
      <c r="C19" s="18" t="s">
        <v>24</v>
      </c>
      <c r="D19" s="19">
        <v>1420.4</v>
      </c>
      <c r="E19" s="19">
        <v>10595.98</v>
      </c>
      <c r="F19" s="20">
        <f t="shared" si="2"/>
        <v>-0.8659491618519477</v>
      </c>
      <c r="G19" s="21">
        <v>249</v>
      </c>
      <c r="H19" s="22">
        <v>31</v>
      </c>
      <c r="I19" s="22">
        <f t="shared" si="1"/>
        <v>8.0322580645161299</v>
      </c>
      <c r="J19" s="17">
        <v>6</v>
      </c>
      <c r="K19" s="17">
        <v>2</v>
      </c>
      <c r="L19" s="19">
        <v>12016.38</v>
      </c>
      <c r="M19" s="21">
        <v>1827</v>
      </c>
      <c r="N19" s="23">
        <v>45030</v>
      </c>
      <c r="O19" s="30" t="s">
        <v>61</v>
      </c>
      <c r="R19" s="17"/>
    </row>
    <row r="20" spans="1:19" s="24" customFormat="1" ht="25.9" customHeight="1" x14ac:dyDescent="0.2">
      <c r="A20" s="17">
        <v>18</v>
      </c>
      <c r="B20" s="17">
        <v>11</v>
      </c>
      <c r="C20" s="18" t="s">
        <v>27</v>
      </c>
      <c r="D20" s="19">
        <v>1299.43</v>
      </c>
      <c r="E20" s="19">
        <v>6352.02</v>
      </c>
      <c r="F20" s="20">
        <f t="shared" si="2"/>
        <v>-0.79543043000494329</v>
      </c>
      <c r="G20" s="21">
        <v>233</v>
      </c>
      <c r="H20" s="22">
        <v>44</v>
      </c>
      <c r="I20" s="22">
        <f t="shared" si="1"/>
        <v>5.2954545454545459</v>
      </c>
      <c r="J20" s="17">
        <v>11</v>
      </c>
      <c r="K20" s="17">
        <v>2</v>
      </c>
      <c r="L20" s="19">
        <v>7845.35</v>
      </c>
      <c r="M20" s="21">
        <v>1284</v>
      </c>
      <c r="N20" s="23">
        <v>45030</v>
      </c>
      <c r="O20" s="30" t="s">
        <v>17</v>
      </c>
      <c r="R20" s="17"/>
    </row>
    <row r="21" spans="1:19" s="24" customFormat="1" ht="25.9" customHeight="1" x14ac:dyDescent="0.2">
      <c r="A21" s="17">
        <v>19</v>
      </c>
      <c r="B21" s="17">
        <v>16</v>
      </c>
      <c r="C21" s="25" t="s">
        <v>43</v>
      </c>
      <c r="D21" s="19">
        <v>1280.4100000000001</v>
      </c>
      <c r="E21" s="19">
        <v>2371.9</v>
      </c>
      <c r="F21" s="20">
        <f t="shared" si="2"/>
        <v>-0.46017538682069226</v>
      </c>
      <c r="G21" s="17">
        <v>189</v>
      </c>
      <c r="H21" s="22">
        <v>15</v>
      </c>
      <c r="I21" s="22">
        <f t="shared" si="1"/>
        <v>12.6</v>
      </c>
      <c r="J21" s="17">
        <v>4</v>
      </c>
      <c r="K21" s="17">
        <v>9</v>
      </c>
      <c r="L21" s="19">
        <v>127017.98</v>
      </c>
      <c r="M21" s="21">
        <v>19831</v>
      </c>
      <c r="N21" s="23">
        <v>44981</v>
      </c>
      <c r="O21" s="35" t="s">
        <v>17</v>
      </c>
      <c r="R21" s="17"/>
    </row>
    <row r="22" spans="1:19" s="24" customFormat="1" ht="25.9" customHeight="1" x14ac:dyDescent="0.2">
      <c r="A22" s="17">
        <v>20</v>
      </c>
      <c r="B22" s="17">
        <v>21</v>
      </c>
      <c r="C22" s="18" t="s">
        <v>36</v>
      </c>
      <c r="D22" s="19">
        <v>1082.4000000000001</v>
      </c>
      <c r="E22" s="19">
        <v>1434.4499999999998</v>
      </c>
      <c r="F22" s="20">
        <f t="shared" si="2"/>
        <v>-0.24542507581302922</v>
      </c>
      <c r="G22" s="21">
        <v>166</v>
      </c>
      <c r="H22" s="22">
        <v>9</v>
      </c>
      <c r="I22" s="22">
        <f t="shared" si="1"/>
        <v>18.444444444444443</v>
      </c>
      <c r="J22" s="17">
        <v>2</v>
      </c>
      <c r="K22" s="17">
        <v>8</v>
      </c>
      <c r="L22" s="19">
        <v>225808.92000000004</v>
      </c>
      <c r="M22" s="21">
        <v>35379</v>
      </c>
      <c r="N22" s="23">
        <v>44988</v>
      </c>
      <c r="O22" s="30" t="s">
        <v>39</v>
      </c>
      <c r="R22" s="17"/>
    </row>
    <row r="23" spans="1:19" s="24" customFormat="1" ht="25.9" customHeight="1" x14ac:dyDescent="0.2">
      <c r="A23" s="17">
        <v>21</v>
      </c>
      <c r="B23" s="6">
        <v>18</v>
      </c>
      <c r="C23" s="13" t="s">
        <v>79</v>
      </c>
      <c r="D23" s="8">
        <v>883</v>
      </c>
      <c r="E23" s="8">
        <v>1918.1</v>
      </c>
      <c r="F23" s="20">
        <f t="shared" si="2"/>
        <v>-0.53964861060424374</v>
      </c>
      <c r="G23" s="6">
        <v>256</v>
      </c>
      <c r="H23" s="6">
        <v>13</v>
      </c>
      <c r="I23" s="22">
        <f t="shared" si="1"/>
        <v>19.692307692307693</v>
      </c>
      <c r="J23" s="6">
        <v>4</v>
      </c>
      <c r="K23" s="6">
        <v>5</v>
      </c>
      <c r="L23" s="8">
        <v>43490</v>
      </c>
      <c r="M23" s="10">
        <v>4953</v>
      </c>
      <c r="N23" s="12">
        <v>45012</v>
      </c>
      <c r="O23" s="34" t="s">
        <v>68</v>
      </c>
      <c r="R23" s="17"/>
    </row>
    <row r="24" spans="1:19" s="24" customFormat="1" ht="25.9" customHeight="1" x14ac:dyDescent="0.2">
      <c r="A24" s="17">
        <v>22</v>
      </c>
      <c r="B24" s="6" t="s">
        <v>31</v>
      </c>
      <c r="C24" s="13" t="s">
        <v>84</v>
      </c>
      <c r="D24" s="8">
        <v>819.5</v>
      </c>
      <c r="E24" s="8" t="s">
        <v>18</v>
      </c>
      <c r="F24" s="9" t="s">
        <v>18</v>
      </c>
      <c r="G24" s="6">
        <v>271</v>
      </c>
      <c r="H24" s="6">
        <v>10</v>
      </c>
      <c r="I24" s="22">
        <f t="shared" si="1"/>
        <v>27.1</v>
      </c>
      <c r="J24" s="6">
        <v>5</v>
      </c>
      <c r="K24" s="6">
        <v>1</v>
      </c>
      <c r="L24" s="8">
        <v>819.5</v>
      </c>
      <c r="M24" s="10">
        <v>271</v>
      </c>
      <c r="N24" s="12">
        <v>45037</v>
      </c>
      <c r="O24" s="6" t="s">
        <v>83</v>
      </c>
      <c r="R24" s="17"/>
    </row>
    <row r="25" spans="1:19" s="27" customFormat="1" ht="25.9" customHeight="1" x14ac:dyDescent="0.15">
      <c r="A25" s="17">
        <v>23</v>
      </c>
      <c r="B25" s="6" t="s">
        <v>57</v>
      </c>
      <c r="C25" s="7" t="s">
        <v>58</v>
      </c>
      <c r="D25" s="8">
        <v>768.5</v>
      </c>
      <c r="E25" s="8" t="s">
        <v>18</v>
      </c>
      <c r="F25" s="9" t="s">
        <v>18</v>
      </c>
      <c r="G25" s="10">
        <v>121</v>
      </c>
      <c r="H25" s="11">
        <v>5</v>
      </c>
      <c r="I25" s="22">
        <f>G25/H25</f>
        <v>24.2</v>
      </c>
      <c r="J25" s="6">
        <v>5</v>
      </c>
      <c r="K25" s="6">
        <v>0</v>
      </c>
      <c r="L25" s="8">
        <v>768.5</v>
      </c>
      <c r="M25" s="10">
        <v>121</v>
      </c>
      <c r="N25" s="12" t="s">
        <v>59</v>
      </c>
      <c r="O25" s="31" t="s">
        <v>16</v>
      </c>
      <c r="R25" s="17"/>
      <c r="S25" s="24"/>
    </row>
    <row r="26" spans="1:19" s="27" customFormat="1" ht="25.9" customHeight="1" x14ac:dyDescent="0.15">
      <c r="A26" s="17">
        <v>24</v>
      </c>
      <c r="B26" s="6">
        <v>24</v>
      </c>
      <c r="C26" s="13" t="s">
        <v>80</v>
      </c>
      <c r="D26" s="8">
        <v>621.20000000000005</v>
      </c>
      <c r="E26" s="8">
        <v>904.8</v>
      </c>
      <c r="F26" s="20">
        <f>(D26-E26)/E26</f>
        <v>-0.3134394341290892</v>
      </c>
      <c r="G26" s="6">
        <v>94</v>
      </c>
      <c r="H26" s="6">
        <v>7</v>
      </c>
      <c r="I26" s="22">
        <f>G26/H26</f>
        <v>13.428571428571429</v>
      </c>
      <c r="J26" s="6">
        <v>3</v>
      </c>
      <c r="K26" s="6">
        <v>5</v>
      </c>
      <c r="L26" s="8">
        <v>8550</v>
      </c>
      <c r="M26" s="10">
        <v>1575</v>
      </c>
      <c r="N26" s="12">
        <v>45012</v>
      </c>
      <c r="O26" s="34" t="s">
        <v>68</v>
      </c>
      <c r="R26" s="17"/>
      <c r="S26" s="24"/>
    </row>
    <row r="27" spans="1:19" s="27" customFormat="1" ht="25.9" customHeight="1" x14ac:dyDescent="0.15">
      <c r="A27" s="17">
        <v>25</v>
      </c>
      <c r="B27" s="17">
        <v>13</v>
      </c>
      <c r="C27" s="18" t="s">
        <v>42</v>
      </c>
      <c r="D27" s="19">
        <v>527.69000000000005</v>
      </c>
      <c r="E27" s="19">
        <v>3197.33</v>
      </c>
      <c r="F27" s="20">
        <f>(D27-E27)/E27</f>
        <v>-0.83495916905668166</v>
      </c>
      <c r="G27" s="21">
        <v>102</v>
      </c>
      <c r="H27" s="22">
        <v>15</v>
      </c>
      <c r="I27" s="22">
        <f t="shared" ref="I27:I51" si="3">G27/H27</f>
        <v>6.8</v>
      </c>
      <c r="J27" s="17">
        <v>2</v>
      </c>
      <c r="K27" s="17">
        <v>12</v>
      </c>
      <c r="L27" s="19">
        <v>324815.45</v>
      </c>
      <c r="M27" s="21">
        <v>64376</v>
      </c>
      <c r="N27" s="23">
        <v>44960</v>
      </c>
      <c r="O27" s="30" t="s">
        <v>14</v>
      </c>
      <c r="R27" s="17"/>
      <c r="S27" s="24"/>
    </row>
    <row r="28" spans="1:19" s="27" customFormat="1" ht="25.9" customHeight="1" x14ac:dyDescent="0.15">
      <c r="A28" s="17">
        <v>26</v>
      </c>
      <c r="B28" s="6" t="s">
        <v>31</v>
      </c>
      <c r="C28" s="7" t="s">
        <v>94</v>
      </c>
      <c r="D28" s="8">
        <v>472.2</v>
      </c>
      <c r="E28" s="8" t="s">
        <v>18</v>
      </c>
      <c r="F28" s="9" t="s">
        <v>18</v>
      </c>
      <c r="G28" s="10">
        <v>73</v>
      </c>
      <c r="H28" s="11">
        <v>1</v>
      </c>
      <c r="I28" s="22">
        <f>G28/H28</f>
        <v>73</v>
      </c>
      <c r="J28" s="6">
        <v>1</v>
      </c>
      <c r="K28" s="6">
        <v>1</v>
      </c>
      <c r="L28" s="8">
        <v>472.2</v>
      </c>
      <c r="M28" s="10">
        <v>73</v>
      </c>
      <c r="N28" s="12">
        <v>45043</v>
      </c>
      <c r="O28" s="31" t="s">
        <v>95</v>
      </c>
      <c r="R28" s="17"/>
      <c r="S28" s="24"/>
    </row>
    <row r="29" spans="1:19" s="27" customFormat="1" ht="25.9" customHeight="1" x14ac:dyDescent="0.15">
      <c r="A29" s="17">
        <v>27</v>
      </c>
      <c r="B29" s="17">
        <v>20</v>
      </c>
      <c r="C29" s="25" t="s">
        <v>44</v>
      </c>
      <c r="D29" s="19">
        <v>409.06</v>
      </c>
      <c r="E29" s="19">
        <v>1660.38</v>
      </c>
      <c r="F29" s="20">
        <f>(D29-E29)/E29</f>
        <v>-0.75363471012659755</v>
      </c>
      <c r="G29" s="17">
        <v>93</v>
      </c>
      <c r="H29" s="22">
        <v>9</v>
      </c>
      <c r="I29" s="22">
        <f t="shared" si="3"/>
        <v>10.333333333333334</v>
      </c>
      <c r="J29" s="17">
        <v>2</v>
      </c>
      <c r="K29" s="17">
        <v>18</v>
      </c>
      <c r="L29" s="19">
        <v>1044473.39</v>
      </c>
      <c r="M29" s="21">
        <v>194367</v>
      </c>
      <c r="N29" s="23">
        <v>44916</v>
      </c>
      <c r="O29" s="35" t="s">
        <v>47</v>
      </c>
    </row>
    <row r="30" spans="1:19" ht="25.9" customHeight="1" x14ac:dyDescent="0.15">
      <c r="A30" s="17">
        <v>28</v>
      </c>
      <c r="B30" s="9" t="s">
        <v>18</v>
      </c>
      <c r="C30" s="13" t="s">
        <v>65</v>
      </c>
      <c r="D30" s="32">
        <v>400</v>
      </c>
      <c r="E30" s="8" t="s">
        <v>18</v>
      </c>
      <c r="F30" s="9" t="s">
        <v>18</v>
      </c>
      <c r="G30" s="33">
        <v>80</v>
      </c>
      <c r="H30" s="10">
        <v>1</v>
      </c>
      <c r="I30" s="22">
        <f t="shared" si="3"/>
        <v>80</v>
      </c>
      <c r="J30" s="10">
        <v>1</v>
      </c>
      <c r="K30" s="9" t="s">
        <v>18</v>
      </c>
      <c r="L30" s="33">
        <v>2675850.29</v>
      </c>
      <c r="M30" s="33">
        <v>354244</v>
      </c>
      <c r="N30" s="12">
        <v>44911</v>
      </c>
      <c r="O30" s="30" t="s">
        <v>40</v>
      </c>
    </row>
    <row r="31" spans="1:19" ht="25.9" customHeight="1" x14ac:dyDescent="0.15">
      <c r="A31" s="17">
        <v>29</v>
      </c>
      <c r="B31" s="6">
        <v>19</v>
      </c>
      <c r="C31" s="13" t="s">
        <v>82</v>
      </c>
      <c r="D31" s="8">
        <v>328.35</v>
      </c>
      <c r="E31" s="8">
        <v>1669.9</v>
      </c>
      <c r="F31" s="20">
        <f t="shared" ref="F31:F37" si="4">(D31-E31)/E31</f>
        <v>-0.80337145936882459</v>
      </c>
      <c r="G31" s="6">
        <v>64</v>
      </c>
      <c r="H31" s="6">
        <v>3</v>
      </c>
      <c r="I31" s="22">
        <f t="shared" si="3"/>
        <v>21.333333333333332</v>
      </c>
      <c r="J31" s="6">
        <v>3</v>
      </c>
      <c r="K31" s="6">
        <v>3</v>
      </c>
      <c r="L31" s="8">
        <v>6126.9400000000005</v>
      </c>
      <c r="M31" s="10">
        <v>1125</v>
      </c>
      <c r="N31" s="12">
        <v>45023</v>
      </c>
      <c r="O31" s="6" t="s">
        <v>83</v>
      </c>
    </row>
    <row r="32" spans="1:19" ht="25.9" customHeight="1" x14ac:dyDescent="0.15">
      <c r="A32" s="17">
        <v>30</v>
      </c>
      <c r="B32" s="17">
        <v>34</v>
      </c>
      <c r="C32" s="18" t="s">
        <v>38</v>
      </c>
      <c r="D32" s="19">
        <v>303.60000000000002</v>
      </c>
      <c r="E32" s="19">
        <v>303.10000000000002</v>
      </c>
      <c r="F32" s="20">
        <f t="shared" si="4"/>
        <v>1.649620587264929E-3</v>
      </c>
      <c r="G32" s="21">
        <v>56</v>
      </c>
      <c r="H32" s="22">
        <v>3</v>
      </c>
      <c r="I32" s="22">
        <f t="shared" si="3"/>
        <v>18.666666666666668</v>
      </c>
      <c r="J32" s="17">
        <v>1</v>
      </c>
      <c r="K32" s="17" t="s">
        <v>18</v>
      </c>
      <c r="L32" s="19">
        <v>35386.199999999997</v>
      </c>
      <c r="M32" s="21">
        <v>5686</v>
      </c>
      <c r="N32" s="23">
        <v>44960</v>
      </c>
      <c r="O32" s="30" t="s">
        <v>40</v>
      </c>
    </row>
    <row r="33" spans="1:15" ht="25.9" customHeight="1" x14ac:dyDescent="0.15">
      <c r="A33" s="17">
        <v>31</v>
      </c>
      <c r="B33" s="17">
        <v>37</v>
      </c>
      <c r="C33" s="18" t="s">
        <v>29</v>
      </c>
      <c r="D33" s="19">
        <v>249</v>
      </c>
      <c r="E33" s="19">
        <v>202.7</v>
      </c>
      <c r="F33" s="20">
        <f t="shared" si="4"/>
        <v>0.22841637888505187</v>
      </c>
      <c r="G33" s="21">
        <v>79</v>
      </c>
      <c r="H33" s="22">
        <v>4</v>
      </c>
      <c r="I33" s="22">
        <f t="shared" si="3"/>
        <v>19.75</v>
      </c>
      <c r="J33" s="17">
        <v>3</v>
      </c>
      <c r="K33" s="17">
        <v>5</v>
      </c>
      <c r="L33" s="19">
        <v>11712.6</v>
      </c>
      <c r="M33" s="21">
        <v>2154</v>
      </c>
      <c r="N33" s="23">
        <v>45009</v>
      </c>
      <c r="O33" s="30" t="s">
        <v>12</v>
      </c>
    </row>
    <row r="34" spans="1:15" ht="25.9" customHeight="1" x14ac:dyDescent="0.15">
      <c r="A34" s="17">
        <v>32</v>
      </c>
      <c r="B34" s="17">
        <v>23</v>
      </c>
      <c r="C34" s="18" t="s">
        <v>32</v>
      </c>
      <c r="D34" s="19">
        <v>226.7</v>
      </c>
      <c r="E34" s="19">
        <v>1044.4000000000001</v>
      </c>
      <c r="F34" s="20">
        <f t="shared" si="4"/>
        <v>-0.78293757181156642</v>
      </c>
      <c r="G34" s="21">
        <v>33</v>
      </c>
      <c r="H34" s="22">
        <v>3</v>
      </c>
      <c r="I34" s="22">
        <f t="shared" si="3"/>
        <v>11</v>
      </c>
      <c r="J34" s="17">
        <v>2</v>
      </c>
      <c r="K34" s="17" t="s">
        <v>18</v>
      </c>
      <c r="L34" s="19">
        <v>39547.480000000003</v>
      </c>
      <c r="M34" s="21">
        <v>6714</v>
      </c>
      <c r="N34" s="23">
        <v>44678</v>
      </c>
      <c r="O34" s="30" t="s">
        <v>16</v>
      </c>
    </row>
    <row r="35" spans="1:15" ht="25.9" customHeight="1" x14ac:dyDescent="0.15">
      <c r="A35" s="17">
        <v>33</v>
      </c>
      <c r="B35" s="17">
        <v>29</v>
      </c>
      <c r="C35" s="18" t="s">
        <v>37</v>
      </c>
      <c r="D35" s="19">
        <v>221</v>
      </c>
      <c r="E35" s="19">
        <v>566</v>
      </c>
      <c r="F35" s="20">
        <f t="shared" si="4"/>
        <v>-0.60954063604240283</v>
      </c>
      <c r="G35" s="21">
        <v>41</v>
      </c>
      <c r="H35" s="22">
        <v>2</v>
      </c>
      <c r="I35" s="22">
        <f t="shared" si="3"/>
        <v>20.5</v>
      </c>
      <c r="J35" s="17">
        <v>2</v>
      </c>
      <c r="K35" s="17">
        <v>10</v>
      </c>
      <c r="L35" s="19">
        <v>274716.63</v>
      </c>
      <c r="M35" s="21">
        <v>46055</v>
      </c>
      <c r="N35" s="23">
        <v>44973</v>
      </c>
      <c r="O35" s="30" t="s">
        <v>13</v>
      </c>
    </row>
    <row r="36" spans="1:15" ht="25.9" customHeight="1" x14ac:dyDescent="0.15">
      <c r="A36" s="17">
        <v>34</v>
      </c>
      <c r="B36" s="6">
        <v>30</v>
      </c>
      <c r="C36" s="13" t="s">
        <v>75</v>
      </c>
      <c r="D36" s="8">
        <v>218.3</v>
      </c>
      <c r="E36" s="8">
        <v>562.4</v>
      </c>
      <c r="F36" s="20">
        <f t="shared" si="4"/>
        <v>-0.61184210526315785</v>
      </c>
      <c r="G36" s="6">
        <v>38</v>
      </c>
      <c r="H36" s="6">
        <v>3</v>
      </c>
      <c r="I36" s="22">
        <f t="shared" si="3"/>
        <v>12.666666666666666</v>
      </c>
      <c r="J36" s="6">
        <v>3</v>
      </c>
      <c r="K36" s="6">
        <v>5</v>
      </c>
      <c r="L36" s="8">
        <v>9053</v>
      </c>
      <c r="M36" s="10">
        <v>1544</v>
      </c>
      <c r="N36" s="12">
        <v>45012</v>
      </c>
      <c r="O36" s="34" t="s">
        <v>68</v>
      </c>
    </row>
    <row r="37" spans="1:15" ht="25.9" customHeight="1" x14ac:dyDescent="0.15">
      <c r="A37" s="17">
        <v>35</v>
      </c>
      <c r="B37" s="6">
        <v>36</v>
      </c>
      <c r="C37" s="13" t="s">
        <v>76</v>
      </c>
      <c r="D37" s="8">
        <v>208</v>
      </c>
      <c r="E37" s="8">
        <v>220.8</v>
      </c>
      <c r="F37" s="20">
        <f t="shared" si="4"/>
        <v>-5.7971014492753672E-2</v>
      </c>
      <c r="G37" s="6">
        <v>43</v>
      </c>
      <c r="H37" s="6">
        <v>3</v>
      </c>
      <c r="I37" s="22">
        <f t="shared" si="3"/>
        <v>14.333333333333334</v>
      </c>
      <c r="J37" s="6">
        <v>2</v>
      </c>
      <c r="K37" s="6">
        <v>5</v>
      </c>
      <c r="L37" s="8">
        <v>18981</v>
      </c>
      <c r="M37" s="10">
        <v>2136</v>
      </c>
      <c r="N37" s="12">
        <v>45012</v>
      </c>
      <c r="O37" s="34" t="s">
        <v>68</v>
      </c>
    </row>
    <row r="38" spans="1:15" ht="25.9" customHeight="1" x14ac:dyDescent="0.15">
      <c r="A38" s="17">
        <v>36</v>
      </c>
      <c r="B38" s="6" t="s">
        <v>18</v>
      </c>
      <c r="C38" s="13" t="s">
        <v>77</v>
      </c>
      <c r="D38" s="8">
        <v>187</v>
      </c>
      <c r="E38" s="8" t="s">
        <v>18</v>
      </c>
      <c r="F38" s="8" t="s">
        <v>18</v>
      </c>
      <c r="G38" s="6">
        <v>58</v>
      </c>
      <c r="H38" s="6">
        <v>2</v>
      </c>
      <c r="I38" s="22">
        <f t="shared" si="3"/>
        <v>29</v>
      </c>
      <c r="J38" s="6">
        <v>2</v>
      </c>
      <c r="K38" s="6" t="s">
        <v>18</v>
      </c>
      <c r="L38" s="8">
        <v>388</v>
      </c>
      <c r="M38" s="10">
        <v>92</v>
      </c>
      <c r="N38" s="12">
        <v>45026</v>
      </c>
      <c r="O38" s="34" t="s">
        <v>68</v>
      </c>
    </row>
    <row r="39" spans="1:15" ht="25.9" customHeight="1" x14ac:dyDescent="0.15">
      <c r="A39" s="17">
        <v>37</v>
      </c>
      <c r="B39" s="6">
        <v>31</v>
      </c>
      <c r="C39" s="13" t="s">
        <v>78</v>
      </c>
      <c r="D39" s="8">
        <v>177.7</v>
      </c>
      <c r="E39" s="8">
        <v>521.79999999999995</v>
      </c>
      <c r="F39" s="20">
        <f>(D39-E39)/E39</f>
        <v>-0.65944806439248749</v>
      </c>
      <c r="G39" s="6">
        <v>28</v>
      </c>
      <c r="H39" s="6">
        <v>2</v>
      </c>
      <c r="I39" s="22">
        <f t="shared" si="3"/>
        <v>14</v>
      </c>
      <c r="J39" s="6">
        <v>2</v>
      </c>
      <c r="K39" s="6">
        <v>5</v>
      </c>
      <c r="L39" s="8">
        <v>21766</v>
      </c>
      <c r="M39" s="10">
        <v>2584</v>
      </c>
      <c r="N39" s="12">
        <v>45012</v>
      </c>
      <c r="O39" s="34" t="s">
        <v>68</v>
      </c>
    </row>
    <row r="40" spans="1:15" ht="25.9" customHeight="1" x14ac:dyDescent="0.15">
      <c r="A40" s="17">
        <v>38</v>
      </c>
      <c r="B40" s="17">
        <v>27</v>
      </c>
      <c r="C40" s="18" t="s">
        <v>35</v>
      </c>
      <c r="D40" s="19">
        <v>151</v>
      </c>
      <c r="E40" s="19">
        <v>614</v>
      </c>
      <c r="F40" s="20">
        <f>(D40-E40)/E40</f>
        <v>-0.75407166123778502</v>
      </c>
      <c r="G40" s="21">
        <v>36</v>
      </c>
      <c r="H40" s="22">
        <v>7</v>
      </c>
      <c r="I40" s="22">
        <f t="shared" si="3"/>
        <v>5.1428571428571432</v>
      </c>
      <c r="J40" s="17">
        <v>2</v>
      </c>
      <c r="K40" s="17">
        <v>2</v>
      </c>
      <c r="L40" s="19">
        <v>764.6</v>
      </c>
      <c r="M40" s="21">
        <v>152</v>
      </c>
      <c r="N40" s="23">
        <v>45030</v>
      </c>
      <c r="O40" s="30" t="s">
        <v>30</v>
      </c>
    </row>
    <row r="41" spans="1:15" ht="25.9" customHeight="1" x14ac:dyDescent="0.15">
      <c r="A41" s="17">
        <v>39</v>
      </c>
      <c r="B41" s="6">
        <v>39</v>
      </c>
      <c r="C41" s="13" t="s">
        <v>73</v>
      </c>
      <c r="D41" s="8">
        <v>85.5</v>
      </c>
      <c r="E41" s="8">
        <v>92</v>
      </c>
      <c r="F41" s="20">
        <f>(D41-E41)/E41</f>
        <v>-7.0652173913043473E-2</v>
      </c>
      <c r="G41" s="6">
        <v>17</v>
      </c>
      <c r="H41" s="6">
        <v>3</v>
      </c>
      <c r="I41" s="22">
        <f t="shared" si="3"/>
        <v>5.666666666666667</v>
      </c>
      <c r="J41" s="6">
        <v>2</v>
      </c>
      <c r="K41" s="6">
        <v>5</v>
      </c>
      <c r="L41" s="8">
        <v>944</v>
      </c>
      <c r="M41" s="10">
        <v>191</v>
      </c>
      <c r="N41" s="12">
        <v>45012</v>
      </c>
      <c r="O41" s="34" t="s">
        <v>68</v>
      </c>
    </row>
    <row r="42" spans="1:15" ht="25.9" customHeight="1" x14ac:dyDescent="0.15">
      <c r="A42" s="17">
        <v>40</v>
      </c>
      <c r="B42" s="6" t="s">
        <v>18</v>
      </c>
      <c r="C42" s="13" t="s">
        <v>74</v>
      </c>
      <c r="D42" s="8">
        <v>72</v>
      </c>
      <c r="E42" s="8" t="s">
        <v>18</v>
      </c>
      <c r="F42" s="8" t="s">
        <v>18</v>
      </c>
      <c r="G42" s="6">
        <v>15</v>
      </c>
      <c r="H42" s="6">
        <v>1</v>
      </c>
      <c r="I42" s="22">
        <f t="shared" si="3"/>
        <v>15</v>
      </c>
      <c r="J42" s="6">
        <v>1</v>
      </c>
      <c r="K42" s="6" t="s">
        <v>18</v>
      </c>
      <c r="L42" s="8">
        <v>624</v>
      </c>
      <c r="M42" s="10">
        <v>160</v>
      </c>
      <c r="N42" s="12">
        <v>42832</v>
      </c>
      <c r="O42" s="34" t="s">
        <v>68</v>
      </c>
    </row>
    <row r="43" spans="1:15" ht="25.9" customHeight="1" x14ac:dyDescent="0.15">
      <c r="A43" s="17">
        <v>41</v>
      </c>
      <c r="B43" s="6" t="s">
        <v>18</v>
      </c>
      <c r="C43" s="13" t="s">
        <v>81</v>
      </c>
      <c r="D43" s="8">
        <v>64.5</v>
      </c>
      <c r="E43" s="8" t="s">
        <v>18</v>
      </c>
      <c r="F43" s="8" t="s">
        <v>18</v>
      </c>
      <c r="G43" s="6">
        <v>10</v>
      </c>
      <c r="H43" s="6">
        <v>3</v>
      </c>
      <c r="I43" s="22">
        <f t="shared" si="3"/>
        <v>3.3333333333333335</v>
      </c>
      <c r="J43" s="6">
        <v>2</v>
      </c>
      <c r="K43" s="6" t="s">
        <v>18</v>
      </c>
      <c r="L43" s="8">
        <v>723</v>
      </c>
      <c r="M43" s="10">
        <v>146</v>
      </c>
      <c r="N43" s="12">
        <v>45012</v>
      </c>
      <c r="O43" s="34" t="s">
        <v>68</v>
      </c>
    </row>
    <row r="44" spans="1:15" ht="25.9" customHeight="1" x14ac:dyDescent="0.15">
      <c r="A44" s="17">
        <v>42</v>
      </c>
      <c r="B44" s="6" t="s">
        <v>18</v>
      </c>
      <c r="C44" s="13" t="s">
        <v>69</v>
      </c>
      <c r="D44" s="8">
        <v>58</v>
      </c>
      <c r="E44" s="8" t="s">
        <v>18</v>
      </c>
      <c r="F44" s="8" t="s">
        <v>18</v>
      </c>
      <c r="G44" s="6">
        <v>10</v>
      </c>
      <c r="H44" s="6">
        <v>1</v>
      </c>
      <c r="I44" s="22">
        <f t="shared" si="3"/>
        <v>10</v>
      </c>
      <c r="J44" s="6">
        <v>1</v>
      </c>
      <c r="K44" s="6" t="s">
        <v>18</v>
      </c>
      <c r="L44" s="8">
        <v>115</v>
      </c>
      <c r="M44" s="10">
        <v>24</v>
      </c>
      <c r="N44" s="12">
        <v>45012</v>
      </c>
      <c r="O44" s="34" t="s">
        <v>68</v>
      </c>
    </row>
    <row r="45" spans="1:15" ht="25.9" customHeight="1" x14ac:dyDescent="0.15">
      <c r="A45" s="17">
        <v>43</v>
      </c>
      <c r="B45" s="6" t="s">
        <v>18</v>
      </c>
      <c r="C45" s="13" t="s">
        <v>70</v>
      </c>
      <c r="D45" s="8">
        <v>49</v>
      </c>
      <c r="E45" s="8" t="s">
        <v>18</v>
      </c>
      <c r="F45" s="8" t="s">
        <v>18</v>
      </c>
      <c r="G45" s="6">
        <v>9</v>
      </c>
      <c r="H45" s="6">
        <v>1</v>
      </c>
      <c r="I45" s="22">
        <f t="shared" si="3"/>
        <v>9</v>
      </c>
      <c r="J45" s="6">
        <v>1</v>
      </c>
      <c r="K45" s="6" t="s">
        <v>18</v>
      </c>
      <c r="L45" s="8">
        <v>14497</v>
      </c>
      <c r="M45" s="10">
        <v>2984</v>
      </c>
      <c r="N45" s="12">
        <v>43560</v>
      </c>
      <c r="O45" s="34" t="s">
        <v>68</v>
      </c>
    </row>
    <row r="46" spans="1:15" ht="25.9" customHeight="1" x14ac:dyDescent="0.15">
      <c r="A46" s="17">
        <v>44</v>
      </c>
      <c r="B46" s="6">
        <v>42</v>
      </c>
      <c r="C46" s="13" t="s">
        <v>71</v>
      </c>
      <c r="D46" s="8">
        <v>36</v>
      </c>
      <c r="E46" s="8">
        <v>64</v>
      </c>
      <c r="F46" s="20">
        <f>(D46-E46)/E46</f>
        <v>-0.4375</v>
      </c>
      <c r="G46" s="6">
        <v>8</v>
      </c>
      <c r="H46" s="6">
        <v>4</v>
      </c>
      <c r="I46" s="22">
        <f t="shared" si="3"/>
        <v>2</v>
      </c>
      <c r="J46" s="6">
        <v>2</v>
      </c>
      <c r="K46" s="6">
        <v>5</v>
      </c>
      <c r="L46" s="8">
        <v>679</v>
      </c>
      <c r="M46" s="10">
        <v>135</v>
      </c>
      <c r="N46" s="12">
        <v>45012</v>
      </c>
      <c r="O46" s="34" t="s">
        <v>68</v>
      </c>
    </row>
    <row r="47" spans="1:15" ht="25.9" customHeight="1" x14ac:dyDescent="0.15">
      <c r="A47" s="17">
        <v>45</v>
      </c>
      <c r="B47" s="6">
        <v>14</v>
      </c>
      <c r="C47" s="13" t="s">
        <v>45</v>
      </c>
      <c r="D47" s="8">
        <v>34.1</v>
      </c>
      <c r="E47" s="8">
        <v>3009.3599999999997</v>
      </c>
      <c r="F47" s="20">
        <f>(D47-E47)/E47</f>
        <v>-0.98866868702980037</v>
      </c>
      <c r="G47" s="6">
        <v>8</v>
      </c>
      <c r="H47" s="6">
        <v>2</v>
      </c>
      <c r="I47" s="22">
        <f t="shared" si="3"/>
        <v>4</v>
      </c>
      <c r="J47" s="6">
        <v>1</v>
      </c>
      <c r="K47" s="6">
        <v>4</v>
      </c>
      <c r="L47" s="8">
        <v>37325.81</v>
      </c>
      <c r="M47" s="10">
        <v>7597</v>
      </c>
      <c r="N47" s="12">
        <v>45016</v>
      </c>
      <c r="O47" s="6" t="s">
        <v>48</v>
      </c>
    </row>
    <row r="48" spans="1:15" ht="25.9" customHeight="1" x14ac:dyDescent="0.15">
      <c r="A48" s="17">
        <v>46</v>
      </c>
      <c r="B48" s="17">
        <v>25</v>
      </c>
      <c r="C48" s="18" t="s">
        <v>33</v>
      </c>
      <c r="D48" s="19">
        <v>24.4</v>
      </c>
      <c r="E48" s="19">
        <v>821.3</v>
      </c>
      <c r="F48" s="20">
        <f>(D48-E48)/E48</f>
        <v>-0.97029100206988927</v>
      </c>
      <c r="G48" s="21">
        <v>5</v>
      </c>
      <c r="H48" s="22">
        <v>3</v>
      </c>
      <c r="I48" s="22">
        <f t="shared" si="3"/>
        <v>1.6666666666666667</v>
      </c>
      <c r="J48" s="17">
        <v>1</v>
      </c>
      <c r="K48" s="17">
        <v>6</v>
      </c>
      <c r="L48" s="19">
        <v>64538.64</v>
      </c>
      <c r="M48" s="21">
        <v>11751</v>
      </c>
      <c r="N48" s="23">
        <v>45002</v>
      </c>
      <c r="O48" s="30" t="s">
        <v>13</v>
      </c>
    </row>
    <row r="49" spans="1:15" ht="25.9" customHeight="1" x14ac:dyDescent="0.15">
      <c r="A49" s="17">
        <v>47</v>
      </c>
      <c r="B49" s="6" t="s">
        <v>18</v>
      </c>
      <c r="C49" s="13" t="s">
        <v>72</v>
      </c>
      <c r="D49" s="8">
        <v>20.3</v>
      </c>
      <c r="E49" s="8" t="s">
        <v>18</v>
      </c>
      <c r="F49" s="8" t="s">
        <v>18</v>
      </c>
      <c r="G49" s="6">
        <v>3</v>
      </c>
      <c r="H49" s="6">
        <v>1</v>
      </c>
      <c r="I49" s="22">
        <f t="shared" si="3"/>
        <v>3</v>
      </c>
      <c r="J49" s="6">
        <v>1</v>
      </c>
      <c r="K49" s="6" t="s">
        <v>18</v>
      </c>
      <c r="L49" s="8">
        <v>126200</v>
      </c>
      <c r="M49" s="10">
        <v>18951</v>
      </c>
      <c r="N49" s="12">
        <v>44967</v>
      </c>
      <c r="O49" s="34" t="s">
        <v>68</v>
      </c>
    </row>
    <row r="50" spans="1:15" ht="25.9" customHeight="1" x14ac:dyDescent="0.15">
      <c r="A50" s="17">
        <v>48</v>
      </c>
      <c r="B50" s="17">
        <v>28</v>
      </c>
      <c r="C50" s="18" t="s">
        <v>34</v>
      </c>
      <c r="D50" s="19">
        <v>15</v>
      </c>
      <c r="E50" s="19">
        <v>603.85</v>
      </c>
      <c r="F50" s="20">
        <f>(D50-E50)/E50</f>
        <v>-0.97515939388921091</v>
      </c>
      <c r="G50" s="21">
        <v>3</v>
      </c>
      <c r="H50" s="22">
        <v>1</v>
      </c>
      <c r="I50" s="22">
        <f t="shared" si="3"/>
        <v>3</v>
      </c>
      <c r="J50" s="17">
        <v>1</v>
      </c>
      <c r="K50" s="17">
        <v>9</v>
      </c>
      <c r="L50" s="19">
        <v>71074.53</v>
      </c>
      <c r="M50" s="21">
        <v>14603</v>
      </c>
      <c r="N50" s="23">
        <v>44981</v>
      </c>
      <c r="O50" s="30" t="s">
        <v>16</v>
      </c>
    </row>
    <row r="51" spans="1:15" ht="25.9" customHeight="1" x14ac:dyDescent="0.15">
      <c r="A51" s="17">
        <v>49</v>
      </c>
      <c r="B51" s="9" t="s">
        <v>18</v>
      </c>
      <c r="C51" s="13" t="s">
        <v>63</v>
      </c>
      <c r="D51" s="28">
        <v>11</v>
      </c>
      <c r="E51" s="8" t="s">
        <v>18</v>
      </c>
      <c r="F51" s="8" t="s">
        <v>18</v>
      </c>
      <c r="G51" s="29">
        <v>4</v>
      </c>
      <c r="H51" s="10">
        <v>1</v>
      </c>
      <c r="I51" s="22">
        <f t="shared" si="3"/>
        <v>4</v>
      </c>
      <c r="J51" s="10">
        <v>1</v>
      </c>
      <c r="K51" s="9" t="s">
        <v>18</v>
      </c>
      <c r="L51" s="32">
        <v>2407.62</v>
      </c>
      <c r="M51" s="33">
        <v>392</v>
      </c>
      <c r="N51" s="12">
        <v>45016</v>
      </c>
      <c r="O51" s="34" t="s">
        <v>64</v>
      </c>
    </row>
    <row r="52" spans="1:15" ht="25.9" customHeight="1" x14ac:dyDescent="0.2">
      <c r="A52" s="48" t="s">
        <v>85</v>
      </c>
      <c r="B52" s="41" t="s">
        <v>85</v>
      </c>
      <c r="C52" s="46" t="s">
        <v>96</v>
      </c>
      <c r="D52" s="47">
        <f>SUBTOTAL(109,Table13[Pajamos 
(GBO)])</f>
        <v>269559.86999999994</v>
      </c>
      <c r="E52" s="49" t="s">
        <v>105</v>
      </c>
      <c r="F52" s="42">
        <f>(D52-E52)/E52</f>
        <v>-0.26749239122164387</v>
      </c>
      <c r="G52" s="43">
        <f>SUBTOTAL(109,Table13[Žiūrovų sk. 
(ADM)])</f>
        <v>47697</v>
      </c>
      <c r="H52" s="48"/>
      <c r="I52" s="48"/>
      <c r="J52" s="48"/>
      <c r="K52" s="48"/>
      <c r="L52" s="48"/>
      <c r="M52" s="48"/>
      <c r="N52" s="48"/>
      <c r="O52" s="48" t="s">
        <v>85</v>
      </c>
    </row>
    <row r="53" spans="1:15" ht="25.9" hidden="1" customHeight="1" x14ac:dyDescent="0.15">
      <c r="A53" s="1"/>
      <c r="B53" s="1"/>
      <c r="C53" s="1"/>
      <c r="D53" s="1"/>
      <c r="E53" s="1"/>
      <c r="F53" s="3"/>
      <c r="G53" s="1"/>
      <c r="H53" s="1"/>
      <c r="I53" s="1"/>
      <c r="J53" s="1"/>
      <c r="K53" s="1"/>
      <c r="L53" s="2"/>
      <c r="M53" s="1"/>
      <c r="N53" s="1"/>
      <c r="O53" s="1"/>
    </row>
    <row r="54" spans="1:15" ht="25.9" hidden="1" customHeight="1" x14ac:dyDescent="0.15">
      <c r="A54" s="1"/>
      <c r="B54" s="1"/>
      <c r="C54" s="1"/>
      <c r="D54" s="1"/>
      <c r="E54" s="1"/>
      <c r="F54" s="3"/>
      <c r="G54" s="1"/>
      <c r="H54" s="1"/>
      <c r="I54" s="1"/>
      <c r="J54" s="1"/>
      <c r="K54" s="1"/>
      <c r="L54" s="2"/>
      <c r="M54" s="1"/>
      <c r="N54" s="1"/>
      <c r="O54" s="1"/>
    </row>
    <row r="55" spans="1:15" ht="25.9" hidden="1" customHeight="1" x14ac:dyDescent="0.15">
      <c r="A55" s="1"/>
      <c r="B55" s="1"/>
      <c r="C55" s="1"/>
      <c r="D55" s="1"/>
      <c r="E55" s="1"/>
      <c r="F55" s="3"/>
      <c r="G55" s="1"/>
      <c r="H55" s="1"/>
      <c r="I55" s="1"/>
      <c r="J55" s="1"/>
      <c r="K55" s="1"/>
      <c r="L55" s="2"/>
      <c r="M55" s="1"/>
      <c r="N55" s="1"/>
      <c r="O55" s="1"/>
    </row>
    <row r="56" spans="1:15" ht="25.9" hidden="1" customHeight="1" x14ac:dyDescent="0.15">
      <c r="A56" s="1"/>
      <c r="B56" s="1"/>
      <c r="C56" s="1"/>
      <c r="D56" s="1"/>
      <c r="E56" s="1"/>
      <c r="F56" s="3"/>
      <c r="G56" s="1"/>
      <c r="H56" s="1"/>
      <c r="I56" s="1"/>
      <c r="J56" s="1"/>
      <c r="K56" s="1"/>
      <c r="L56" s="2"/>
      <c r="M56" s="1"/>
      <c r="N56" s="1"/>
      <c r="O56" s="1"/>
    </row>
    <row r="57" spans="1:15" ht="25.9" hidden="1" customHeight="1" x14ac:dyDescent="0.15">
      <c r="A57" s="1"/>
      <c r="B57" s="1"/>
      <c r="C57" s="1"/>
      <c r="D57" s="1"/>
      <c r="E57" s="1"/>
      <c r="F57" s="3"/>
      <c r="G57" s="1"/>
      <c r="H57" s="1"/>
      <c r="I57" s="1"/>
      <c r="J57" s="1"/>
      <c r="K57" s="1"/>
      <c r="L57" s="2"/>
      <c r="M57" s="1"/>
      <c r="N57" s="1"/>
      <c r="O57" s="1"/>
    </row>
    <row r="58" spans="1:15" ht="25.9" hidden="1" customHeight="1" x14ac:dyDescent="0.15">
      <c r="A58" s="1"/>
      <c r="B58" s="1"/>
      <c r="C58" s="1"/>
      <c r="D58" s="1"/>
      <c r="E58" s="1"/>
      <c r="F58" s="3"/>
      <c r="G58" s="1"/>
      <c r="H58" s="1"/>
      <c r="I58" s="1"/>
      <c r="J58" s="1"/>
      <c r="K58" s="1"/>
      <c r="L58" s="2"/>
      <c r="M58" s="1"/>
      <c r="N58" s="1"/>
      <c r="O58" s="1"/>
    </row>
    <row r="59" spans="1:15" ht="25.9" hidden="1" customHeight="1" x14ac:dyDescent="0.15">
      <c r="A59" s="1"/>
      <c r="B59" s="1"/>
      <c r="C59" s="1"/>
      <c r="D59" s="1"/>
      <c r="E59" s="1"/>
      <c r="F59" s="3"/>
      <c r="G59" s="1"/>
      <c r="H59" s="1"/>
      <c r="I59" s="1"/>
      <c r="J59" s="1"/>
      <c r="K59" s="1"/>
      <c r="L59" s="2"/>
      <c r="M59" s="1"/>
      <c r="N59" s="1"/>
      <c r="O59" s="1"/>
    </row>
    <row r="60" spans="1:15" ht="25.9" hidden="1" customHeight="1" x14ac:dyDescent="0.15">
      <c r="A60" s="1"/>
      <c r="B60" s="1"/>
      <c r="C60" s="1"/>
      <c r="D60" s="1"/>
      <c r="E60" s="1"/>
      <c r="F60" s="3"/>
      <c r="G60" s="1"/>
      <c r="H60" s="1"/>
      <c r="I60" s="1"/>
      <c r="J60" s="1"/>
      <c r="K60" s="1"/>
      <c r="L60" s="2"/>
      <c r="M60" s="1"/>
      <c r="N60" s="1"/>
      <c r="O60" s="1"/>
    </row>
    <row r="61" spans="1:15" ht="25.9" hidden="1" customHeight="1" x14ac:dyDescent="0.15">
      <c r="A61" s="1"/>
      <c r="B61" s="1"/>
      <c r="C61" s="1"/>
      <c r="D61" s="1"/>
      <c r="E61" s="1"/>
      <c r="F61" s="3"/>
      <c r="G61" s="1"/>
      <c r="H61" s="1"/>
      <c r="I61" s="1"/>
      <c r="J61" s="1"/>
      <c r="K61" s="1"/>
      <c r="L61" s="2"/>
      <c r="M61" s="1"/>
      <c r="N61" s="1"/>
      <c r="O61" s="1"/>
    </row>
    <row r="62" spans="1:15" ht="25.9" hidden="1" customHeight="1" x14ac:dyDescent="0.15">
      <c r="A62" s="1"/>
      <c r="B62" s="1"/>
      <c r="C62" s="1"/>
      <c r="D62" s="1"/>
      <c r="E62" s="1"/>
      <c r="F62" s="3"/>
      <c r="G62" s="1"/>
      <c r="H62" s="1"/>
      <c r="I62" s="1"/>
      <c r="J62" s="1"/>
      <c r="K62" s="1"/>
      <c r="L62" s="2"/>
      <c r="M62" s="1"/>
      <c r="N62" s="1"/>
      <c r="O62" s="1"/>
    </row>
    <row r="63" spans="1:15" ht="25.9" hidden="1" customHeight="1" x14ac:dyDescent="0.15">
      <c r="A63" s="1"/>
      <c r="B63" s="1"/>
      <c r="C63" s="1"/>
      <c r="D63" s="1"/>
      <c r="E63" s="1"/>
      <c r="F63" s="3"/>
      <c r="G63" s="1"/>
      <c r="H63" s="1"/>
      <c r="I63" s="1"/>
      <c r="J63" s="1"/>
      <c r="K63" s="1"/>
      <c r="L63" s="2"/>
      <c r="M63" s="1"/>
      <c r="N63" s="1"/>
      <c r="O63" s="1"/>
    </row>
    <row r="64" spans="1:15" ht="25.9" hidden="1" customHeight="1" x14ac:dyDescent="0.15">
      <c r="A64" s="1"/>
      <c r="B64" s="1"/>
      <c r="C64" s="1"/>
      <c r="D64" s="1"/>
      <c r="E64" s="1"/>
      <c r="F64" s="3"/>
      <c r="G64" s="1"/>
      <c r="H64" s="1"/>
      <c r="I64" s="1"/>
      <c r="J64" s="1"/>
      <c r="K64" s="1"/>
      <c r="L64" s="2"/>
      <c r="M64" s="1"/>
      <c r="N64" s="1"/>
      <c r="O64" s="1"/>
    </row>
    <row r="65" spans="6:6" s="1" customFormat="1" ht="25.9" hidden="1" customHeight="1" x14ac:dyDescent="0.15">
      <c r="F65" s="3"/>
    </row>
    <row r="66" spans="6:6" s="1" customFormat="1" ht="25.9" hidden="1" customHeight="1" x14ac:dyDescent="0.15">
      <c r="F66" s="3"/>
    </row>
    <row r="67" spans="6:6" s="1" customFormat="1" ht="25.9" hidden="1" customHeight="1" x14ac:dyDescent="0.15">
      <c r="F67" s="3"/>
    </row>
    <row r="68" spans="6:6" s="1" customFormat="1" ht="25.9" hidden="1" customHeight="1" x14ac:dyDescent="0.15">
      <c r="F68" s="3"/>
    </row>
    <row r="69" spans="6:6" s="1" customFormat="1" ht="0" hidden="1" customHeight="1" x14ac:dyDescent="0.15"/>
  </sheetData>
  <mergeCells count="1">
    <mergeCell ref="A1:O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ignoredErrors>
    <ignoredError sqref="F3 F30 F5 F7" calculatedColumn="1"/>
  </ignoredErrors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CF865-7625-4F12-ACC4-01B701594D29}">
  <dimension ref="A1:XFC49"/>
  <sheetViews>
    <sheetView topLeftCell="A22" zoomScale="60" zoomScaleNormal="60" workbookViewId="0">
      <selection activeCell="C27" sqref="C27:O27"/>
    </sheetView>
  </sheetViews>
  <sheetFormatPr defaultColWidth="0" defaultRowHeight="0" customHeight="1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81" customWidth="1"/>
    <col min="16" max="16" width="31.85546875" style="1" hidden="1" customWidth="1"/>
    <col min="17" max="16384" width="5.42578125" style="1" hidden="1"/>
  </cols>
  <sheetData>
    <row r="1" spans="1:18" s="4" customFormat="1" ht="40.5" customHeight="1" thickBot="1" x14ac:dyDescent="0.25">
      <c r="A1" s="87" t="s">
        <v>326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50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5" customHeight="1" x14ac:dyDescent="0.2">
      <c r="A3" s="22">
        <v>1</v>
      </c>
      <c r="B3" s="22">
        <v>1</v>
      </c>
      <c r="C3" s="18" t="s">
        <v>309</v>
      </c>
      <c r="D3" s="19">
        <v>69873.58</v>
      </c>
      <c r="E3" s="19">
        <v>83308.92</v>
      </c>
      <c r="F3" s="20">
        <f>(D3-E3)/E3</f>
        <v>-0.16127132604767888</v>
      </c>
      <c r="G3" s="21">
        <v>10427</v>
      </c>
      <c r="H3" s="22" t="s">
        <v>18</v>
      </c>
      <c r="I3" s="22" t="s">
        <v>18</v>
      </c>
      <c r="J3" s="22">
        <v>14</v>
      </c>
      <c r="K3" s="22">
        <v>2</v>
      </c>
      <c r="L3" s="19">
        <v>156463.20000000001</v>
      </c>
      <c r="M3" s="21">
        <v>22347</v>
      </c>
      <c r="N3" s="23">
        <v>45198</v>
      </c>
      <c r="O3" s="30" t="s">
        <v>310</v>
      </c>
    </row>
    <row r="4" spans="1:18" s="24" customFormat="1" ht="25.5" customHeight="1" x14ac:dyDescent="0.2">
      <c r="A4" s="22">
        <v>2</v>
      </c>
      <c r="B4" s="22" t="s">
        <v>31</v>
      </c>
      <c r="C4" s="18" t="s">
        <v>319</v>
      </c>
      <c r="D4" s="19">
        <v>54746.23</v>
      </c>
      <c r="E4" s="20" t="s">
        <v>18</v>
      </c>
      <c r="F4" s="20" t="s">
        <v>18</v>
      </c>
      <c r="G4" s="21">
        <v>8674</v>
      </c>
      <c r="H4" s="22">
        <v>233</v>
      </c>
      <c r="I4" s="22">
        <f>G4/H4</f>
        <v>37.227467811158796</v>
      </c>
      <c r="J4" s="22">
        <v>16</v>
      </c>
      <c r="K4" s="22">
        <v>1</v>
      </c>
      <c r="L4" s="19">
        <v>56671.519999999997</v>
      </c>
      <c r="M4" s="21">
        <v>8933</v>
      </c>
      <c r="N4" s="23">
        <v>45205</v>
      </c>
      <c r="O4" s="30" t="s">
        <v>40</v>
      </c>
    </row>
    <row r="5" spans="1:18" s="24" customFormat="1" ht="25.5" customHeight="1" x14ac:dyDescent="0.2">
      <c r="A5" s="22">
        <v>3</v>
      </c>
      <c r="B5" s="22" t="s">
        <v>31</v>
      </c>
      <c r="C5" s="18" t="s">
        <v>318</v>
      </c>
      <c r="D5" s="19">
        <v>49439.98</v>
      </c>
      <c r="E5" s="20" t="s">
        <v>18</v>
      </c>
      <c r="F5" s="20" t="s">
        <v>18</v>
      </c>
      <c r="G5" s="21">
        <v>7920</v>
      </c>
      <c r="H5" s="22">
        <v>180</v>
      </c>
      <c r="I5" s="22">
        <f t="shared" ref="I5:I12" si="0">G5/H5</f>
        <v>44</v>
      </c>
      <c r="J5" s="22">
        <v>14</v>
      </c>
      <c r="K5" s="22">
        <v>1</v>
      </c>
      <c r="L5" s="19">
        <v>50518.38</v>
      </c>
      <c r="M5" s="21">
        <v>8068</v>
      </c>
      <c r="N5" s="23">
        <v>45205</v>
      </c>
      <c r="O5" s="30" t="s">
        <v>179</v>
      </c>
      <c r="R5" s="17"/>
    </row>
    <row r="6" spans="1:18" s="24" customFormat="1" ht="25.5" customHeight="1" x14ac:dyDescent="0.2">
      <c r="A6" s="22">
        <v>4</v>
      </c>
      <c r="B6" s="22">
        <v>4</v>
      </c>
      <c r="C6" s="18" t="s">
        <v>291</v>
      </c>
      <c r="D6" s="74">
        <v>30672.63</v>
      </c>
      <c r="E6" s="19">
        <v>32632.41</v>
      </c>
      <c r="F6" s="20">
        <f>(D6-E6)/E6</f>
        <v>-6.0056244696606802E-2</v>
      </c>
      <c r="G6" s="73">
        <v>5810</v>
      </c>
      <c r="H6" s="22">
        <v>192</v>
      </c>
      <c r="I6" s="22">
        <f t="shared" si="0"/>
        <v>30.260416666666668</v>
      </c>
      <c r="J6" s="22">
        <v>14</v>
      </c>
      <c r="K6" s="75">
        <v>4</v>
      </c>
      <c r="L6" s="74">
        <v>136329.1</v>
      </c>
      <c r="M6" s="73">
        <v>26316</v>
      </c>
      <c r="N6" s="23">
        <v>45184</v>
      </c>
      <c r="O6" s="30" t="s">
        <v>13</v>
      </c>
      <c r="R6" s="17"/>
    </row>
    <row r="7" spans="1:18" s="24" customFormat="1" ht="25.5" customHeight="1" x14ac:dyDescent="0.2">
      <c r="A7" s="22">
        <v>5</v>
      </c>
      <c r="B7" s="22">
        <v>2</v>
      </c>
      <c r="C7" s="18" t="s">
        <v>317</v>
      </c>
      <c r="D7" s="19">
        <v>30294.58</v>
      </c>
      <c r="E7" s="19">
        <v>56637.61</v>
      </c>
      <c r="F7" s="20">
        <f>(D7-E7)/E7</f>
        <v>-0.4651154948098975</v>
      </c>
      <c r="G7" s="21">
        <v>4910</v>
      </c>
      <c r="H7" s="22">
        <v>117</v>
      </c>
      <c r="I7" s="22">
        <f t="shared" si="0"/>
        <v>41.965811965811966</v>
      </c>
      <c r="J7" s="22">
        <v>11</v>
      </c>
      <c r="K7" s="22">
        <v>2</v>
      </c>
      <c r="L7" s="19">
        <v>86932.19</v>
      </c>
      <c r="M7" s="21">
        <v>12913</v>
      </c>
      <c r="N7" s="23">
        <v>45198</v>
      </c>
      <c r="O7" s="30" t="s">
        <v>13</v>
      </c>
      <c r="R7" s="17"/>
    </row>
    <row r="8" spans="1:18" s="82" customFormat="1" ht="25.5" customHeight="1" x14ac:dyDescent="0.2">
      <c r="A8" s="22">
        <v>6</v>
      </c>
      <c r="B8" s="22">
        <v>3</v>
      </c>
      <c r="C8" s="18" t="s">
        <v>296</v>
      </c>
      <c r="D8" s="19">
        <v>29392.869999999901</v>
      </c>
      <c r="E8" s="19">
        <v>42345.79</v>
      </c>
      <c r="F8" s="20">
        <f>(D8-E8)/E8</f>
        <v>-0.30588448107828664</v>
      </c>
      <c r="G8" s="21">
        <v>4908</v>
      </c>
      <c r="H8" s="22">
        <v>105</v>
      </c>
      <c r="I8" s="22">
        <f t="shared" si="0"/>
        <v>46.74285714285714</v>
      </c>
      <c r="J8" s="22">
        <v>14</v>
      </c>
      <c r="K8" s="22">
        <v>3</v>
      </c>
      <c r="L8" s="19">
        <v>134867.49</v>
      </c>
      <c r="M8" s="21">
        <v>21023</v>
      </c>
      <c r="N8" s="23">
        <v>45191</v>
      </c>
      <c r="O8" s="30" t="s">
        <v>68</v>
      </c>
      <c r="R8" s="83"/>
    </row>
    <row r="9" spans="1:18" s="24" customFormat="1" ht="25.5" customHeight="1" x14ac:dyDescent="0.2">
      <c r="A9" s="22">
        <v>7</v>
      </c>
      <c r="B9" s="22">
        <v>6</v>
      </c>
      <c r="C9" s="18" t="s">
        <v>305</v>
      </c>
      <c r="D9" s="19">
        <v>23208.81</v>
      </c>
      <c r="E9" s="19">
        <v>22288.7</v>
      </c>
      <c r="F9" s="20">
        <f>(D9-E9)/E9</f>
        <v>4.1281456522812031E-2</v>
      </c>
      <c r="G9" s="21">
        <v>4391</v>
      </c>
      <c r="H9" s="22">
        <v>183</v>
      </c>
      <c r="I9" s="22">
        <f t="shared" si="0"/>
        <v>23.994535519125684</v>
      </c>
      <c r="J9" s="22">
        <v>17</v>
      </c>
      <c r="K9" s="22">
        <v>2</v>
      </c>
      <c r="L9" s="19">
        <v>46113.51</v>
      </c>
      <c r="M9" s="21">
        <v>8693</v>
      </c>
      <c r="N9" s="23">
        <v>45198</v>
      </c>
      <c r="O9" s="30" t="s">
        <v>13</v>
      </c>
      <c r="R9" s="17"/>
    </row>
    <row r="10" spans="1:18" s="24" customFormat="1" ht="25.5" customHeight="1" x14ac:dyDescent="0.2">
      <c r="A10" s="22">
        <v>8</v>
      </c>
      <c r="B10" s="22">
        <v>8</v>
      </c>
      <c r="C10" s="18" t="s">
        <v>222</v>
      </c>
      <c r="D10" s="19">
        <v>12891.42</v>
      </c>
      <c r="E10" s="19">
        <v>14821.27</v>
      </c>
      <c r="F10" s="20">
        <f>(D10-E10)/E10</f>
        <v>-0.13020814005817316</v>
      </c>
      <c r="G10" s="21">
        <v>1939</v>
      </c>
      <c r="H10" s="22">
        <v>45</v>
      </c>
      <c r="I10" s="22">
        <f t="shared" si="0"/>
        <v>43.088888888888889</v>
      </c>
      <c r="J10" s="22">
        <v>6</v>
      </c>
      <c r="K10" s="22">
        <v>12</v>
      </c>
      <c r="L10" s="19">
        <v>1076132.6000000001</v>
      </c>
      <c r="M10" s="21">
        <v>151436</v>
      </c>
      <c r="N10" s="23">
        <v>45128</v>
      </c>
      <c r="O10" s="30" t="s">
        <v>179</v>
      </c>
      <c r="R10" s="17"/>
    </row>
    <row r="11" spans="1:18" s="24" customFormat="1" ht="25.5" customHeight="1" x14ac:dyDescent="0.2">
      <c r="A11" s="22">
        <v>9</v>
      </c>
      <c r="B11" s="22" t="s">
        <v>31</v>
      </c>
      <c r="C11" s="18" t="s">
        <v>323</v>
      </c>
      <c r="D11" s="19">
        <v>12254.45</v>
      </c>
      <c r="E11" s="20" t="s">
        <v>18</v>
      </c>
      <c r="F11" s="20" t="s">
        <v>18</v>
      </c>
      <c r="G11" s="21">
        <v>2238</v>
      </c>
      <c r="H11" s="22">
        <v>180</v>
      </c>
      <c r="I11" s="22">
        <f t="shared" si="0"/>
        <v>12.433333333333334</v>
      </c>
      <c r="J11" s="22">
        <v>20</v>
      </c>
      <c r="K11" s="22">
        <v>1</v>
      </c>
      <c r="L11" s="19">
        <v>12750.05</v>
      </c>
      <c r="M11" s="21">
        <v>2318</v>
      </c>
      <c r="N11" s="23">
        <v>45205</v>
      </c>
      <c r="O11" s="30" t="s">
        <v>13</v>
      </c>
      <c r="R11" s="17"/>
    </row>
    <row r="12" spans="1:18" s="24" customFormat="1" ht="25.5" customHeight="1" x14ac:dyDescent="0.2">
      <c r="A12" s="22">
        <v>10</v>
      </c>
      <c r="B12" s="22">
        <v>5</v>
      </c>
      <c r="C12" s="18" t="s">
        <v>283</v>
      </c>
      <c r="D12" s="19">
        <v>11491.82</v>
      </c>
      <c r="E12" s="19">
        <v>23333.23</v>
      </c>
      <c r="F12" s="20">
        <f>(D12-E12)/E12</f>
        <v>-0.50749124746123875</v>
      </c>
      <c r="G12" s="21">
        <v>1900</v>
      </c>
      <c r="H12" s="22">
        <v>62</v>
      </c>
      <c r="I12" s="22">
        <f t="shared" si="0"/>
        <v>30.64516129032258</v>
      </c>
      <c r="J12" s="22">
        <v>7</v>
      </c>
      <c r="K12" s="22">
        <v>5</v>
      </c>
      <c r="L12" s="19">
        <v>223259.18</v>
      </c>
      <c r="M12" s="21">
        <v>30599</v>
      </c>
      <c r="N12" s="23">
        <v>45177</v>
      </c>
      <c r="O12" s="30" t="s">
        <v>14</v>
      </c>
      <c r="R12" s="17"/>
    </row>
    <row r="13" spans="1:18" s="27" customFormat="1" ht="25.5" customHeight="1" x14ac:dyDescent="0.15">
      <c r="A13" s="22">
        <v>11</v>
      </c>
      <c r="B13" s="22">
        <v>11</v>
      </c>
      <c r="C13" s="18" t="s">
        <v>302</v>
      </c>
      <c r="D13" s="19">
        <v>8937</v>
      </c>
      <c r="E13" s="19">
        <v>9113</v>
      </c>
      <c r="F13" s="20">
        <f>(D13-E13)/E13</f>
        <v>-1.9313069241742566E-2</v>
      </c>
      <c r="G13" s="21">
        <v>1908</v>
      </c>
      <c r="H13" s="22" t="s">
        <v>18</v>
      </c>
      <c r="I13" s="22" t="s">
        <v>18</v>
      </c>
      <c r="J13" s="22">
        <v>14</v>
      </c>
      <c r="K13" s="22">
        <v>3</v>
      </c>
      <c r="L13" s="19">
        <v>33846</v>
      </c>
      <c r="M13" s="21">
        <v>6896</v>
      </c>
      <c r="N13" s="23">
        <v>45191</v>
      </c>
      <c r="O13" s="30" t="s">
        <v>15</v>
      </c>
    </row>
    <row r="14" spans="1:18" s="27" customFormat="1" ht="25.5" customHeight="1" x14ac:dyDescent="0.15">
      <c r="A14" s="22">
        <v>12</v>
      </c>
      <c r="B14" s="22">
        <v>15</v>
      </c>
      <c r="C14" s="18" t="s">
        <v>239</v>
      </c>
      <c r="D14" s="19">
        <v>8577.82</v>
      </c>
      <c r="E14" s="19">
        <v>7797.73</v>
      </c>
      <c r="F14" s="20">
        <f>(D14-E14)/E14</f>
        <v>0.10004065285666472</v>
      </c>
      <c r="G14" s="21">
        <v>1298</v>
      </c>
      <c r="H14" s="22">
        <v>34</v>
      </c>
      <c r="I14" s="22">
        <f>G14/H14</f>
        <v>38.176470588235297</v>
      </c>
      <c r="J14" s="22">
        <v>4</v>
      </c>
      <c r="K14" s="22">
        <v>9</v>
      </c>
      <c r="L14" s="19">
        <v>237431.47</v>
      </c>
      <c r="M14" s="21">
        <v>37725</v>
      </c>
      <c r="N14" s="23">
        <v>45149</v>
      </c>
      <c r="O14" s="30" t="s">
        <v>12</v>
      </c>
    </row>
    <row r="15" spans="1:18" s="27" customFormat="1" ht="25.5" customHeight="1" x14ac:dyDescent="0.2">
      <c r="A15" s="22">
        <v>13</v>
      </c>
      <c r="B15" s="22">
        <v>9</v>
      </c>
      <c r="C15" s="18" t="s">
        <v>292</v>
      </c>
      <c r="D15" s="19">
        <v>7815.44</v>
      </c>
      <c r="E15" s="19">
        <v>14532.57</v>
      </c>
      <c r="F15" s="20">
        <f>(D15-E15)/E15</f>
        <v>-0.46221212077423335</v>
      </c>
      <c r="G15" s="21">
        <v>1219</v>
      </c>
      <c r="H15" s="22">
        <v>47</v>
      </c>
      <c r="I15" s="22">
        <f t="shared" ref="I15:I30" si="1">G15/H15</f>
        <v>25.936170212765958</v>
      </c>
      <c r="J15" s="22">
        <v>7</v>
      </c>
      <c r="K15" s="22">
        <v>4</v>
      </c>
      <c r="L15" s="19">
        <v>69317.69</v>
      </c>
      <c r="M15" s="21">
        <v>10587</v>
      </c>
      <c r="N15" s="23">
        <v>45184</v>
      </c>
      <c r="O15" s="30" t="s">
        <v>40</v>
      </c>
      <c r="P15" s="77"/>
    </row>
    <row r="16" spans="1:18" s="27" customFormat="1" ht="25.5" customHeight="1" x14ac:dyDescent="0.2">
      <c r="A16" s="22">
        <v>14</v>
      </c>
      <c r="B16" s="22">
        <v>16</v>
      </c>
      <c r="C16" s="18" t="s">
        <v>181</v>
      </c>
      <c r="D16" s="19">
        <v>7355.84</v>
      </c>
      <c r="E16" s="19">
        <v>5160.21</v>
      </c>
      <c r="F16" s="20">
        <f>(D16-E16)/E16</f>
        <v>0.42549237337240153</v>
      </c>
      <c r="G16" s="21">
        <v>1320</v>
      </c>
      <c r="H16" s="22">
        <v>39</v>
      </c>
      <c r="I16" s="22">
        <f t="shared" si="1"/>
        <v>33.846153846153847</v>
      </c>
      <c r="J16" s="22">
        <v>4</v>
      </c>
      <c r="K16" s="22">
        <v>17</v>
      </c>
      <c r="L16" s="19">
        <v>510108.95</v>
      </c>
      <c r="M16" s="21">
        <v>100514</v>
      </c>
      <c r="N16" s="23">
        <v>45093</v>
      </c>
      <c r="O16" s="30" t="s">
        <v>40</v>
      </c>
      <c r="P16" s="77"/>
    </row>
    <row r="17" spans="1:16" s="27" customFormat="1" ht="25.5" customHeight="1" x14ac:dyDescent="0.2">
      <c r="A17" s="22">
        <v>15</v>
      </c>
      <c r="B17" s="22" t="s">
        <v>31</v>
      </c>
      <c r="C17" s="7" t="s">
        <v>322</v>
      </c>
      <c r="D17" s="8">
        <v>7039.75</v>
      </c>
      <c r="E17" s="19" t="s">
        <v>18</v>
      </c>
      <c r="F17" s="20" t="s">
        <v>18</v>
      </c>
      <c r="G17" s="10">
        <v>834</v>
      </c>
      <c r="H17" s="11">
        <v>29</v>
      </c>
      <c r="I17" s="22">
        <f t="shared" si="1"/>
        <v>28.758620689655171</v>
      </c>
      <c r="J17" s="11">
        <v>8</v>
      </c>
      <c r="K17" s="11">
        <v>1</v>
      </c>
      <c r="L17" s="19">
        <v>7039.75</v>
      </c>
      <c r="M17" s="21">
        <v>834</v>
      </c>
      <c r="N17" s="12">
        <v>45205</v>
      </c>
      <c r="O17" s="31" t="s">
        <v>276</v>
      </c>
      <c r="P17" s="77"/>
    </row>
    <row r="18" spans="1:16" s="27" customFormat="1" ht="25.5" customHeight="1" x14ac:dyDescent="0.2">
      <c r="A18" s="22">
        <v>16</v>
      </c>
      <c r="B18" s="22">
        <v>13</v>
      </c>
      <c r="C18" s="18" t="s">
        <v>274</v>
      </c>
      <c r="D18" s="19">
        <v>7002.18</v>
      </c>
      <c r="E18" s="19">
        <v>8125.84</v>
      </c>
      <c r="F18" s="20">
        <f>(D18-E18)/E18</f>
        <v>-0.13828231912023864</v>
      </c>
      <c r="G18" s="21">
        <v>1337</v>
      </c>
      <c r="H18" s="22">
        <v>50</v>
      </c>
      <c r="I18" s="22">
        <f t="shared" si="1"/>
        <v>26.74</v>
      </c>
      <c r="J18" s="22">
        <v>8</v>
      </c>
      <c r="K18" s="22">
        <v>7</v>
      </c>
      <c r="L18" s="19">
        <v>122248.93</v>
      </c>
      <c r="M18" s="21">
        <v>24606</v>
      </c>
      <c r="N18" s="23">
        <v>45163</v>
      </c>
      <c r="O18" s="30" t="s">
        <v>16</v>
      </c>
      <c r="P18" s="77"/>
    </row>
    <row r="19" spans="1:16" s="27" customFormat="1" ht="25.5" customHeight="1" x14ac:dyDescent="0.2">
      <c r="A19" s="22">
        <v>17</v>
      </c>
      <c r="B19" s="22" t="s">
        <v>31</v>
      </c>
      <c r="C19" s="18" t="s">
        <v>321</v>
      </c>
      <c r="D19" s="19">
        <v>6132.43</v>
      </c>
      <c r="E19" s="19" t="s">
        <v>18</v>
      </c>
      <c r="F19" s="20" t="s">
        <v>18</v>
      </c>
      <c r="G19" s="21">
        <v>1142</v>
      </c>
      <c r="H19" s="22">
        <v>67</v>
      </c>
      <c r="I19" s="22">
        <f t="shared" si="1"/>
        <v>17.044776119402986</v>
      </c>
      <c r="J19" s="22">
        <v>19</v>
      </c>
      <c r="K19" s="22">
        <v>1</v>
      </c>
      <c r="L19" s="19">
        <v>6132.43</v>
      </c>
      <c r="M19" s="21">
        <v>1142</v>
      </c>
      <c r="N19" s="23">
        <v>45205</v>
      </c>
      <c r="O19" s="30" t="s">
        <v>48</v>
      </c>
      <c r="P19" s="77"/>
    </row>
    <row r="20" spans="1:16" s="27" customFormat="1" ht="25.5" customHeight="1" x14ac:dyDescent="0.2">
      <c r="A20" s="22">
        <v>18</v>
      </c>
      <c r="B20" s="22">
        <v>7</v>
      </c>
      <c r="C20" s="18" t="s">
        <v>304</v>
      </c>
      <c r="D20" s="19">
        <v>6087.17</v>
      </c>
      <c r="E20" s="19">
        <v>14858.03</v>
      </c>
      <c r="F20" s="20">
        <f>(D20-E20)/E20</f>
        <v>-0.59031109777002744</v>
      </c>
      <c r="G20" s="21">
        <v>1063</v>
      </c>
      <c r="H20" s="22">
        <v>49</v>
      </c>
      <c r="I20" s="22">
        <f t="shared" si="1"/>
        <v>21.693877551020407</v>
      </c>
      <c r="J20" s="22">
        <v>9</v>
      </c>
      <c r="K20" s="22">
        <v>2</v>
      </c>
      <c r="L20" s="19">
        <v>21768.100000000002</v>
      </c>
      <c r="M20" s="21">
        <v>3366</v>
      </c>
      <c r="N20" s="23">
        <v>45198</v>
      </c>
      <c r="O20" s="30" t="s">
        <v>16</v>
      </c>
      <c r="P20" s="77"/>
    </row>
    <row r="21" spans="1:16" s="27" customFormat="1" ht="25.5" customHeight="1" x14ac:dyDescent="0.2">
      <c r="A21" s="22">
        <v>19</v>
      </c>
      <c r="B21" s="22">
        <v>14</v>
      </c>
      <c r="C21" s="18" t="s">
        <v>314</v>
      </c>
      <c r="D21" s="19">
        <v>5602.65</v>
      </c>
      <c r="E21" s="19">
        <v>8091.73</v>
      </c>
      <c r="F21" s="20">
        <f>(D21-E21)/E21</f>
        <v>-0.30760789101959657</v>
      </c>
      <c r="G21" s="21">
        <v>909</v>
      </c>
      <c r="H21" s="22">
        <v>68</v>
      </c>
      <c r="I21" s="22">
        <f t="shared" si="1"/>
        <v>13.367647058823529</v>
      </c>
      <c r="J21" s="22">
        <v>10</v>
      </c>
      <c r="K21" s="22">
        <v>2</v>
      </c>
      <c r="L21" s="19">
        <v>13694.38</v>
      </c>
      <c r="M21" s="21">
        <v>2187</v>
      </c>
      <c r="N21" s="23">
        <v>45198</v>
      </c>
      <c r="O21" s="30" t="s">
        <v>315</v>
      </c>
      <c r="P21" s="77"/>
    </row>
    <row r="22" spans="1:16" s="27" customFormat="1" ht="25.5" customHeight="1" x14ac:dyDescent="0.2">
      <c r="A22" s="22">
        <v>20</v>
      </c>
      <c r="B22" s="22">
        <v>18</v>
      </c>
      <c r="C22" s="18" t="s">
        <v>213</v>
      </c>
      <c r="D22" s="19">
        <v>2679.75</v>
      </c>
      <c r="E22" s="19">
        <v>2496.71</v>
      </c>
      <c r="F22" s="20">
        <f>(D22-E22)/E22</f>
        <v>7.3312479222657004E-2</v>
      </c>
      <c r="G22" s="21">
        <v>404</v>
      </c>
      <c r="H22" s="22">
        <v>17</v>
      </c>
      <c r="I22" s="22">
        <f t="shared" si="1"/>
        <v>23.764705882352942</v>
      </c>
      <c r="J22" s="22">
        <v>4</v>
      </c>
      <c r="K22" s="22">
        <v>12</v>
      </c>
      <c r="L22" s="19">
        <v>1157752.57</v>
      </c>
      <c r="M22" s="21">
        <v>176127</v>
      </c>
      <c r="N22" s="23">
        <v>45128</v>
      </c>
      <c r="O22" s="30" t="s">
        <v>14</v>
      </c>
      <c r="P22" s="77"/>
    </row>
    <row r="23" spans="1:16" s="27" customFormat="1" ht="25.5" customHeight="1" x14ac:dyDescent="0.2">
      <c r="A23" s="22">
        <v>21</v>
      </c>
      <c r="B23" s="22">
        <v>10</v>
      </c>
      <c r="C23" s="18" t="s">
        <v>297</v>
      </c>
      <c r="D23" s="19">
        <v>1387.07</v>
      </c>
      <c r="E23" s="19">
        <v>12387.8</v>
      </c>
      <c r="F23" s="20">
        <f>(D23-E23)/E23</f>
        <v>-0.88802935145869322</v>
      </c>
      <c r="G23" s="21">
        <v>280</v>
      </c>
      <c r="H23" s="22">
        <v>11</v>
      </c>
      <c r="I23" s="22">
        <f t="shared" si="1"/>
        <v>25.454545454545453</v>
      </c>
      <c r="J23" s="22">
        <v>3</v>
      </c>
      <c r="K23" s="22">
        <v>3</v>
      </c>
      <c r="L23" s="19">
        <v>45027.5</v>
      </c>
      <c r="M23" s="21">
        <v>6568</v>
      </c>
      <c r="N23" s="23">
        <v>45191</v>
      </c>
      <c r="O23" s="30" t="s">
        <v>64</v>
      </c>
      <c r="P23" s="77"/>
    </row>
    <row r="24" spans="1:16" s="27" customFormat="1" ht="25.5" customHeight="1" x14ac:dyDescent="0.2">
      <c r="A24" s="22">
        <v>22</v>
      </c>
      <c r="B24" s="19" t="s">
        <v>18</v>
      </c>
      <c r="C24" s="18" t="s">
        <v>116</v>
      </c>
      <c r="D24" s="19">
        <v>1338</v>
      </c>
      <c r="E24" s="19" t="s">
        <v>18</v>
      </c>
      <c r="F24" s="20" t="s">
        <v>18</v>
      </c>
      <c r="G24" s="21">
        <v>328</v>
      </c>
      <c r="H24" s="22">
        <v>7</v>
      </c>
      <c r="I24" s="22">
        <f t="shared" si="1"/>
        <v>46.857142857142854</v>
      </c>
      <c r="J24" s="22">
        <v>1</v>
      </c>
      <c r="K24" s="22" t="s">
        <v>18</v>
      </c>
      <c r="L24" s="19">
        <v>25734.42</v>
      </c>
      <c r="M24" s="21">
        <v>6160</v>
      </c>
      <c r="N24" s="23">
        <v>45051</v>
      </c>
      <c r="O24" s="30" t="s">
        <v>117</v>
      </c>
      <c r="P24" s="77"/>
    </row>
    <row r="25" spans="1:16" s="27" customFormat="1" ht="25.5" customHeight="1" x14ac:dyDescent="0.2">
      <c r="A25" s="22">
        <v>23</v>
      </c>
      <c r="B25" s="22" t="s">
        <v>57</v>
      </c>
      <c r="C25" s="7" t="s">
        <v>324</v>
      </c>
      <c r="D25" s="8">
        <v>1206.1400000000001</v>
      </c>
      <c r="E25" s="19" t="s">
        <v>18</v>
      </c>
      <c r="F25" s="20" t="s">
        <v>18</v>
      </c>
      <c r="G25" s="10">
        <v>173</v>
      </c>
      <c r="H25" s="11">
        <v>8</v>
      </c>
      <c r="I25" s="22">
        <f t="shared" si="1"/>
        <v>21.625</v>
      </c>
      <c r="J25" s="11">
        <v>7</v>
      </c>
      <c r="K25" s="11">
        <v>0</v>
      </c>
      <c r="L25" s="19">
        <v>1206.1400000000001</v>
      </c>
      <c r="M25" s="21">
        <v>173</v>
      </c>
      <c r="N25" s="12" t="s">
        <v>59</v>
      </c>
      <c r="O25" s="31" t="s">
        <v>13</v>
      </c>
      <c r="P25" s="77"/>
    </row>
    <row r="26" spans="1:16" s="27" customFormat="1" ht="25.5" customHeight="1" x14ac:dyDescent="0.2">
      <c r="A26" s="22">
        <v>24</v>
      </c>
      <c r="B26" s="22">
        <v>21</v>
      </c>
      <c r="C26" s="18" t="s">
        <v>308</v>
      </c>
      <c r="D26" s="19">
        <v>603.6</v>
      </c>
      <c r="E26" s="19">
        <v>1290.26</v>
      </c>
      <c r="F26" s="20">
        <f>(D26-E26)/E26</f>
        <v>-0.53218731108458761</v>
      </c>
      <c r="G26" s="21">
        <v>172</v>
      </c>
      <c r="H26" s="22">
        <v>6</v>
      </c>
      <c r="I26" s="22">
        <f t="shared" si="1"/>
        <v>28.666666666666668</v>
      </c>
      <c r="J26" s="22">
        <v>4</v>
      </c>
      <c r="K26" s="22">
        <v>3</v>
      </c>
      <c r="L26" s="19">
        <v>5153.03</v>
      </c>
      <c r="M26" s="21">
        <v>1239</v>
      </c>
      <c r="N26" s="23">
        <v>45191</v>
      </c>
      <c r="O26" s="30" t="s">
        <v>30</v>
      </c>
      <c r="P26" s="77"/>
    </row>
    <row r="27" spans="1:16" s="27" customFormat="1" ht="25.5" customHeight="1" x14ac:dyDescent="0.2">
      <c r="A27" s="22">
        <v>25</v>
      </c>
      <c r="B27" s="19" t="s">
        <v>18</v>
      </c>
      <c r="C27" s="7" t="s">
        <v>235</v>
      </c>
      <c r="D27" s="8">
        <v>578.1</v>
      </c>
      <c r="E27" s="19" t="s">
        <v>18</v>
      </c>
      <c r="F27" s="20" t="s">
        <v>18</v>
      </c>
      <c r="G27" s="10">
        <v>137</v>
      </c>
      <c r="H27" s="11">
        <v>6</v>
      </c>
      <c r="I27" s="22">
        <f t="shared" si="1"/>
        <v>22.833333333333332</v>
      </c>
      <c r="J27" s="11">
        <v>3</v>
      </c>
      <c r="K27" s="11" t="s">
        <v>18</v>
      </c>
      <c r="L27" s="19">
        <v>8241.11</v>
      </c>
      <c r="M27" s="21">
        <v>1451</v>
      </c>
      <c r="N27" s="12">
        <v>45135</v>
      </c>
      <c r="O27" s="31" t="s">
        <v>117</v>
      </c>
      <c r="P27" s="77"/>
    </row>
    <row r="28" spans="1:16" s="27" customFormat="1" ht="25.5" customHeight="1" x14ac:dyDescent="0.2">
      <c r="A28" s="22">
        <v>26</v>
      </c>
      <c r="B28" s="22">
        <v>27</v>
      </c>
      <c r="C28" s="18" t="s">
        <v>261</v>
      </c>
      <c r="D28" s="19">
        <v>573.20000000000005</v>
      </c>
      <c r="E28" s="19">
        <v>485.4</v>
      </c>
      <c r="F28" s="20">
        <f t="shared" ref="F28:F34" si="2">(D28-E28)/E28</f>
        <v>0.18088174701277313</v>
      </c>
      <c r="G28" s="21">
        <v>92</v>
      </c>
      <c r="H28" s="22">
        <v>2</v>
      </c>
      <c r="I28" s="22">
        <f t="shared" si="1"/>
        <v>46</v>
      </c>
      <c r="J28" s="22">
        <v>4</v>
      </c>
      <c r="K28" s="22">
        <v>8</v>
      </c>
      <c r="L28" s="19">
        <v>7735</v>
      </c>
      <c r="M28" s="21">
        <v>1228</v>
      </c>
      <c r="N28" s="23">
        <v>45156</v>
      </c>
      <c r="O28" s="30" t="s">
        <v>30</v>
      </c>
      <c r="P28" s="77"/>
    </row>
    <row r="29" spans="1:16" s="27" customFormat="1" ht="25.5" customHeight="1" x14ac:dyDescent="0.2">
      <c r="A29" s="22">
        <v>27</v>
      </c>
      <c r="B29" s="22">
        <v>24</v>
      </c>
      <c r="C29" s="18" t="s">
        <v>289</v>
      </c>
      <c r="D29" s="74">
        <v>545</v>
      </c>
      <c r="E29" s="19">
        <v>890</v>
      </c>
      <c r="F29" s="20">
        <f t="shared" si="2"/>
        <v>-0.38764044943820225</v>
      </c>
      <c r="G29" s="73">
        <v>95</v>
      </c>
      <c r="H29" s="22">
        <v>3</v>
      </c>
      <c r="I29" s="22">
        <f t="shared" si="1"/>
        <v>31.666666666666668</v>
      </c>
      <c r="J29" s="20" t="s">
        <v>18</v>
      </c>
      <c r="K29" s="75">
        <v>5</v>
      </c>
      <c r="L29" s="74">
        <v>9918</v>
      </c>
      <c r="M29" s="73">
        <v>1913</v>
      </c>
      <c r="N29" s="23">
        <v>45177</v>
      </c>
      <c r="O29" s="30" t="s">
        <v>15</v>
      </c>
      <c r="P29" s="77"/>
    </row>
    <row r="30" spans="1:16" s="27" customFormat="1" ht="25.5" customHeight="1" x14ac:dyDescent="0.2">
      <c r="A30" s="22">
        <v>28</v>
      </c>
      <c r="B30" s="22">
        <v>17</v>
      </c>
      <c r="C30" s="18" t="s">
        <v>271</v>
      </c>
      <c r="D30" s="19">
        <v>499.8</v>
      </c>
      <c r="E30" s="19">
        <v>3259.24</v>
      </c>
      <c r="F30" s="20">
        <f t="shared" si="2"/>
        <v>-0.84665136657625695</v>
      </c>
      <c r="G30" s="21">
        <v>136</v>
      </c>
      <c r="H30" s="22">
        <v>3</v>
      </c>
      <c r="I30" s="22">
        <f t="shared" si="1"/>
        <v>45.333333333333336</v>
      </c>
      <c r="J30" s="22">
        <v>1</v>
      </c>
      <c r="K30" s="22">
        <v>6</v>
      </c>
      <c r="L30" s="19">
        <v>72413.48</v>
      </c>
      <c r="M30" s="21">
        <v>10399</v>
      </c>
      <c r="N30" s="23">
        <v>45170</v>
      </c>
      <c r="O30" s="30" t="s">
        <v>12</v>
      </c>
      <c r="P30" s="77"/>
    </row>
    <row r="31" spans="1:16" s="27" customFormat="1" ht="25.5" customHeight="1" x14ac:dyDescent="0.2">
      <c r="A31" s="22">
        <v>29</v>
      </c>
      <c r="B31" s="22">
        <v>12</v>
      </c>
      <c r="C31" s="18" t="s">
        <v>290</v>
      </c>
      <c r="D31" s="19">
        <v>400</v>
      </c>
      <c r="E31" s="19">
        <v>8259</v>
      </c>
      <c r="F31" s="20">
        <f t="shared" si="2"/>
        <v>-0.95156798643903617</v>
      </c>
      <c r="G31" s="21">
        <v>78</v>
      </c>
      <c r="H31" s="20" t="s">
        <v>18</v>
      </c>
      <c r="I31" s="20" t="s">
        <v>18</v>
      </c>
      <c r="J31" s="22">
        <v>3</v>
      </c>
      <c r="K31" s="22">
        <v>4</v>
      </c>
      <c r="L31" s="19">
        <v>84804</v>
      </c>
      <c r="M31" s="21">
        <v>12486</v>
      </c>
      <c r="N31" s="23">
        <v>45184</v>
      </c>
      <c r="O31" s="30" t="s">
        <v>15</v>
      </c>
      <c r="P31" s="77"/>
    </row>
    <row r="32" spans="1:16" s="27" customFormat="1" ht="25.5" customHeight="1" x14ac:dyDescent="0.2">
      <c r="A32" s="22">
        <v>30</v>
      </c>
      <c r="B32" s="22">
        <v>25</v>
      </c>
      <c r="C32" s="18" t="s">
        <v>280</v>
      </c>
      <c r="D32" s="19">
        <v>275</v>
      </c>
      <c r="E32" s="19">
        <v>858</v>
      </c>
      <c r="F32" s="20">
        <f t="shared" si="2"/>
        <v>-0.67948717948717952</v>
      </c>
      <c r="G32" s="21">
        <v>49</v>
      </c>
      <c r="H32" s="22" t="s">
        <v>18</v>
      </c>
      <c r="I32" s="22" t="s">
        <v>18</v>
      </c>
      <c r="J32" s="22">
        <v>2</v>
      </c>
      <c r="K32" s="22">
        <v>6</v>
      </c>
      <c r="L32" s="19">
        <v>40466</v>
      </c>
      <c r="M32" s="21">
        <v>8376</v>
      </c>
      <c r="N32" s="23">
        <v>45170</v>
      </c>
      <c r="O32" s="30" t="s">
        <v>15</v>
      </c>
      <c r="P32" s="77"/>
    </row>
    <row r="33" spans="1:16383" s="27" customFormat="1" ht="25.5" customHeight="1" x14ac:dyDescent="0.2">
      <c r="A33" s="22">
        <v>31</v>
      </c>
      <c r="B33" s="22">
        <v>20</v>
      </c>
      <c r="C33" s="18" t="s">
        <v>264</v>
      </c>
      <c r="D33" s="19">
        <v>181</v>
      </c>
      <c r="E33" s="19">
        <v>1297.5</v>
      </c>
      <c r="F33" s="20">
        <f t="shared" si="2"/>
        <v>-0.8605009633911368</v>
      </c>
      <c r="G33" s="21">
        <v>49</v>
      </c>
      <c r="H33" s="22">
        <v>3</v>
      </c>
      <c r="I33" s="22">
        <f>G33/H33</f>
        <v>16.333333333333332</v>
      </c>
      <c r="J33" s="22">
        <v>1</v>
      </c>
      <c r="K33" s="22">
        <v>8</v>
      </c>
      <c r="L33" s="19">
        <v>40973.589999999997</v>
      </c>
      <c r="M33" s="21">
        <v>7177</v>
      </c>
      <c r="N33" s="23">
        <v>45156</v>
      </c>
      <c r="O33" s="30" t="s">
        <v>64</v>
      </c>
      <c r="P33" s="77"/>
    </row>
    <row r="34" spans="1:16383" s="27" customFormat="1" ht="25.5" customHeight="1" x14ac:dyDescent="0.2">
      <c r="A34" s="22">
        <v>32</v>
      </c>
      <c r="B34" s="22">
        <v>39</v>
      </c>
      <c r="C34" s="18" t="s">
        <v>50</v>
      </c>
      <c r="D34" s="19">
        <v>129</v>
      </c>
      <c r="E34" s="19">
        <v>30</v>
      </c>
      <c r="F34" s="20">
        <f t="shared" si="2"/>
        <v>3.3</v>
      </c>
      <c r="G34" s="21">
        <v>43</v>
      </c>
      <c r="H34" s="22">
        <v>1</v>
      </c>
      <c r="I34" s="22">
        <f t="shared" ref="I34:I36" si="3">G34/H34</f>
        <v>43</v>
      </c>
      <c r="J34" s="22">
        <v>1</v>
      </c>
      <c r="K34" s="22" t="s">
        <v>18</v>
      </c>
      <c r="L34" s="19">
        <v>249578.61000000002</v>
      </c>
      <c r="M34" s="21">
        <v>49794</v>
      </c>
      <c r="N34" s="23">
        <v>45037</v>
      </c>
      <c r="O34" s="30" t="s">
        <v>51</v>
      </c>
      <c r="P34" s="77"/>
    </row>
    <row r="35" spans="1:16383" s="27" customFormat="1" ht="25.5" customHeight="1" x14ac:dyDescent="0.2">
      <c r="A35" s="22">
        <v>33</v>
      </c>
      <c r="B35" s="19" t="s">
        <v>18</v>
      </c>
      <c r="C35" s="7" t="s">
        <v>303</v>
      </c>
      <c r="D35" s="8">
        <v>32</v>
      </c>
      <c r="E35" s="19" t="s">
        <v>18</v>
      </c>
      <c r="F35" s="20" t="s">
        <v>18</v>
      </c>
      <c r="G35" s="10">
        <v>9</v>
      </c>
      <c r="H35" s="11">
        <v>2</v>
      </c>
      <c r="I35" s="22">
        <f t="shared" si="3"/>
        <v>4.5</v>
      </c>
      <c r="J35" s="11">
        <v>1</v>
      </c>
      <c r="K35" s="11">
        <v>3</v>
      </c>
      <c r="L35" s="19">
        <v>120.9</v>
      </c>
      <c r="M35" s="21">
        <v>35</v>
      </c>
      <c r="N35" s="12">
        <v>45191</v>
      </c>
      <c r="O35" s="31" t="s">
        <v>48</v>
      </c>
      <c r="P35" s="77"/>
    </row>
    <row r="36" spans="1:16383" s="27" customFormat="1" ht="25.5" customHeight="1" x14ac:dyDescent="0.2">
      <c r="A36" s="22">
        <v>34</v>
      </c>
      <c r="B36" s="22">
        <v>33</v>
      </c>
      <c r="C36" s="7" t="s">
        <v>316</v>
      </c>
      <c r="D36" s="8">
        <v>24</v>
      </c>
      <c r="E36" s="19">
        <v>155.46</v>
      </c>
      <c r="F36" s="20">
        <f>(D36-E36)/E36</f>
        <v>-0.84561945194905441</v>
      </c>
      <c r="G36" s="10">
        <v>6</v>
      </c>
      <c r="H36" s="11">
        <v>1</v>
      </c>
      <c r="I36" s="22">
        <f t="shared" si="3"/>
        <v>6</v>
      </c>
      <c r="J36" s="11">
        <v>1</v>
      </c>
      <c r="K36" s="11">
        <v>2</v>
      </c>
      <c r="L36" s="19">
        <v>179.46</v>
      </c>
      <c r="M36" s="21">
        <v>36</v>
      </c>
      <c r="N36" s="12">
        <v>45198</v>
      </c>
      <c r="O36" s="31" t="s">
        <v>48</v>
      </c>
      <c r="P36" s="77"/>
    </row>
    <row r="37" spans="1:16383" s="45" customFormat="1" ht="24.95" customHeight="1" x14ac:dyDescent="0.2">
      <c r="A37" s="67"/>
      <c r="B37" s="67"/>
      <c r="C37" s="46" t="s">
        <v>325</v>
      </c>
      <c r="D37" s="47">
        <f>SUBTOTAL(109,Table132458791011121314151617181920212223262425[Pajamos 
(GBO)])</f>
        <v>399268.30999999988</v>
      </c>
      <c r="E37" s="47" t="s">
        <v>320</v>
      </c>
      <c r="F37" s="42">
        <f t="shared" ref="F37" si="4">(D37-E37)/E37</f>
        <v>4.7343554902680558E-2</v>
      </c>
      <c r="G37" s="43">
        <f>SUBTOTAL(109,Table132458791011121314151617181920212223262425[Žiūrovų sk. 
(ADM)])</f>
        <v>66198</v>
      </c>
      <c r="H37" s="51"/>
      <c r="I37" s="51"/>
      <c r="J37" s="51"/>
      <c r="K37" s="46"/>
      <c r="L37" s="53"/>
      <c r="M37" s="55"/>
      <c r="N37" s="60"/>
      <c r="O37" s="80"/>
    </row>
    <row r="38" spans="1:16383" ht="11.25" hidden="1" x14ac:dyDescent="0.15">
      <c r="A38" s="38"/>
      <c r="B38" s="38"/>
      <c r="K38" s="1"/>
    </row>
    <row r="39" spans="1:16383" ht="11.25" hidden="1" x14ac:dyDescent="0.15">
      <c r="A39" s="38"/>
      <c r="B39" s="38"/>
      <c r="K39" s="1"/>
    </row>
    <row r="40" spans="1:16383" ht="11.25" hidden="1" x14ac:dyDescent="0.15">
      <c r="A40" s="38"/>
      <c r="B40" s="38"/>
      <c r="K40" s="1"/>
    </row>
    <row r="41" spans="1:16383" ht="11.25" hidden="1" x14ac:dyDescent="0.15">
      <c r="A41" s="38"/>
      <c r="B41" s="38"/>
      <c r="K41" s="1"/>
    </row>
    <row r="42" spans="1:16383" ht="11.25" hidden="1" x14ac:dyDescent="0.15">
      <c r="A42" s="38"/>
      <c r="B42" s="38"/>
      <c r="K42" s="1"/>
    </row>
    <row r="43" spans="1:16383" ht="11.25" hidden="1" x14ac:dyDescent="0.15">
      <c r="A43" s="38"/>
      <c r="B43" s="38"/>
      <c r="K43" s="1"/>
    </row>
    <row r="44" spans="1:16383" s="37" customFormat="1" ht="11.25" hidden="1" x14ac:dyDescent="0.15">
      <c r="A44" s="38"/>
      <c r="B44" s="38"/>
      <c r="C44" s="1"/>
      <c r="F44" s="58"/>
      <c r="G44" s="56"/>
      <c r="H44" s="38"/>
      <c r="I44" s="38"/>
      <c r="J44" s="38"/>
      <c r="K44" s="1"/>
      <c r="M44" s="56"/>
      <c r="N44" s="39"/>
      <c r="O44" s="8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  <c r="XFA44" s="1"/>
      <c r="XFB44" s="1"/>
      <c r="XFC44" s="1"/>
    </row>
    <row r="45" spans="1:16383" s="37" customFormat="1" ht="11.25" hidden="1" x14ac:dyDescent="0.15">
      <c r="A45" s="38"/>
      <c r="B45" s="38"/>
      <c r="C45" s="1"/>
      <c r="F45" s="58"/>
      <c r="G45" s="56"/>
      <c r="H45" s="38"/>
      <c r="I45" s="38"/>
      <c r="J45" s="38"/>
      <c r="K45" s="1"/>
      <c r="M45" s="56"/>
      <c r="N45" s="39"/>
      <c r="O45" s="8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  <c r="XFA45" s="1"/>
      <c r="XFB45" s="1"/>
      <c r="XFC45" s="1"/>
    </row>
    <row r="46" spans="1:16383" s="37" customFormat="1" ht="11.25" hidden="1" x14ac:dyDescent="0.15">
      <c r="A46" s="38"/>
      <c r="B46" s="38"/>
      <c r="C46" s="1"/>
      <c r="F46" s="58"/>
      <c r="G46" s="56"/>
      <c r="H46" s="38"/>
      <c r="I46" s="38"/>
      <c r="J46" s="38"/>
      <c r="K46" s="1"/>
      <c r="M46" s="56"/>
      <c r="N46" s="39"/>
      <c r="O46" s="8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  <c r="XFA46" s="1"/>
      <c r="XFB46" s="1"/>
      <c r="XFC46" s="1"/>
    </row>
    <row r="47" spans="1:16383" s="37" customFormat="1" ht="11.25" hidden="1" x14ac:dyDescent="0.15">
      <c r="A47" s="38"/>
      <c r="B47" s="38"/>
      <c r="C47" s="1"/>
      <c r="F47" s="58"/>
      <c r="G47" s="56"/>
      <c r="H47" s="38"/>
      <c r="I47" s="38"/>
      <c r="J47" s="38"/>
      <c r="K47" s="1"/>
      <c r="M47" s="56"/>
      <c r="N47" s="39"/>
      <c r="O47" s="8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  <c r="XFC47" s="1"/>
    </row>
    <row r="48" spans="1:16383" s="37" customFormat="1" ht="11.25" hidden="1" x14ac:dyDescent="0.15">
      <c r="A48" s="38"/>
      <c r="B48" s="38"/>
      <c r="C48" s="1"/>
      <c r="F48" s="58"/>
      <c r="G48" s="56"/>
      <c r="H48" s="38"/>
      <c r="I48" s="38"/>
      <c r="J48" s="38"/>
      <c r="K48" s="1"/>
      <c r="M48" s="56"/>
      <c r="N48" s="39"/>
      <c r="O48" s="8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</row>
    <row r="49" spans="1:16383" s="37" customFormat="1" ht="11.25" hidden="1" x14ac:dyDescent="0.15">
      <c r="A49" s="38"/>
      <c r="B49" s="38"/>
      <c r="C49" s="1"/>
      <c r="F49" s="58"/>
      <c r="G49" s="56"/>
      <c r="H49" s="38"/>
      <c r="I49" s="38"/>
      <c r="J49" s="38"/>
      <c r="K49" s="1"/>
      <c r="M49" s="56"/>
      <c r="N49" s="39"/>
      <c r="O49" s="8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4188F-8B29-4AEB-B665-07AD218C48BA}">
  <dimension ref="A1:XFC54"/>
  <sheetViews>
    <sheetView topLeftCell="A14" zoomScale="60" zoomScaleNormal="60" workbookViewId="0">
      <selection activeCell="C39" sqref="C39:O39"/>
    </sheetView>
  </sheetViews>
  <sheetFormatPr defaultColWidth="0" defaultRowHeight="0" customHeight="1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81" customWidth="1"/>
    <col min="16" max="16" width="31.85546875" style="1" hidden="1" customWidth="1"/>
    <col min="17" max="16384" width="5.42578125" style="1" hidden="1"/>
  </cols>
  <sheetData>
    <row r="1" spans="1:18" s="4" customFormat="1" ht="40.5" customHeight="1" thickBot="1" x14ac:dyDescent="0.25">
      <c r="A1" s="87" t="s">
        <v>312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50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22">
        <v>1</v>
      </c>
      <c r="B3" s="22" t="s">
        <v>31</v>
      </c>
      <c r="C3" s="18" t="s">
        <v>309</v>
      </c>
      <c r="D3" s="19">
        <v>83308.92</v>
      </c>
      <c r="E3" s="20" t="s">
        <v>18</v>
      </c>
      <c r="F3" s="20" t="s">
        <v>18</v>
      </c>
      <c r="G3" s="21">
        <v>11360</v>
      </c>
      <c r="H3" s="22" t="s">
        <v>18</v>
      </c>
      <c r="I3" s="22" t="s">
        <v>18</v>
      </c>
      <c r="J3" s="22">
        <v>14</v>
      </c>
      <c r="K3" s="22">
        <v>1</v>
      </c>
      <c r="L3" s="19">
        <v>86589.62</v>
      </c>
      <c r="M3" s="21">
        <v>11920</v>
      </c>
      <c r="N3" s="23">
        <v>45198</v>
      </c>
      <c r="O3" s="30" t="s">
        <v>310</v>
      </c>
    </row>
    <row r="4" spans="1:18" s="24" customFormat="1" ht="25.9" customHeight="1" x14ac:dyDescent="0.2">
      <c r="A4" s="11">
        <v>2</v>
      </c>
      <c r="B4" s="22" t="s">
        <v>31</v>
      </c>
      <c r="C4" s="7" t="s">
        <v>317</v>
      </c>
      <c r="D4" s="8">
        <v>56637.61</v>
      </c>
      <c r="E4" s="19" t="s">
        <v>18</v>
      </c>
      <c r="F4" s="20" t="s">
        <v>18</v>
      </c>
      <c r="G4" s="10">
        <v>8003</v>
      </c>
      <c r="H4" s="11">
        <v>212</v>
      </c>
      <c r="I4" s="11">
        <f t="shared" ref="I4:I12" si="0">G4/H4</f>
        <v>37.75</v>
      </c>
      <c r="J4" s="11">
        <v>14</v>
      </c>
      <c r="K4" s="11">
        <v>1</v>
      </c>
      <c r="L4" s="19">
        <v>56637.61</v>
      </c>
      <c r="M4" s="21">
        <v>8003</v>
      </c>
      <c r="N4" s="12">
        <v>45198</v>
      </c>
      <c r="O4" s="31" t="s">
        <v>13</v>
      </c>
    </row>
    <row r="5" spans="1:18" s="24" customFormat="1" ht="25.9" customHeight="1" x14ac:dyDescent="0.2">
      <c r="A5" s="22">
        <v>3</v>
      </c>
      <c r="B5" s="22">
        <v>1</v>
      </c>
      <c r="C5" s="18" t="s">
        <v>296</v>
      </c>
      <c r="D5" s="19">
        <v>42345.79</v>
      </c>
      <c r="E5" s="19">
        <v>53266.559999999998</v>
      </c>
      <c r="F5" s="20">
        <f>(D5-E5)/E5</f>
        <v>-0.20502112394718183</v>
      </c>
      <c r="G5" s="21">
        <v>6448</v>
      </c>
      <c r="H5" s="22">
        <v>155</v>
      </c>
      <c r="I5" s="22">
        <f t="shared" si="0"/>
        <v>41.6</v>
      </c>
      <c r="J5" s="22">
        <v>22</v>
      </c>
      <c r="K5" s="22">
        <v>2</v>
      </c>
      <c r="L5" s="19">
        <v>105187.83999999901</v>
      </c>
      <c r="M5" s="21">
        <v>16064</v>
      </c>
      <c r="N5" s="23">
        <v>45191</v>
      </c>
      <c r="O5" s="30" t="s">
        <v>68</v>
      </c>
      <c r="R5" s="17"/>
    </row>
    <row r="6" spans="1:18" s="24" customFormat="1" ht="25.9" customHeight="1" x14ac:dyDescent="0.2">
      <c r="A6" s="11">
        <v>4</v>
      </c>
      <c r="B6" s="22">
        <v>3</v>
      </c>
      <c r="C6" s="18" t="s">
        <v>291</v>
      </c>
      <c r="D6" s="74">
        <v>32632.41</v>
      </c>
      <c r="E6" s="19">
        <v>33094.239999999998</v>
      </c>
      <c r="F6" s="20">
        <f>(D6-E6)/E6</f>
        <v>-1.39549963981647E-2</v>
      </c>
      <c r="G6" s="73">
        <v>6344</v>
      </c>
      <c r="H6" s="22">
        <v>229</v>
      </c>
      <c r="I6" s="22">
        <f t="shared" si="0"/>
        <v>27.703056768558952</v>
      </c>
      <c r="J6" s="22">
        <v>13</v>
      </c>
      <c r="K6" s="75">
        <v>3</v>
      </c>
      <c r="L6" s="74">
        <v>105656.47</v>
      </c>
      <c r="M6" s="73">
        <v>20506</v>
      </c>
      <c r="N6" s="23">
        <v>45184</v>
      </c>
      <c r="O6" s="30" t="s">
        <v>13</v>
      </c>
      <c r="R6" s="17"/>
    </row>
    <row r="7" spans="1:18" s="24" customFormat="1" ht="25.5" customHeight="1" x14ac:dyDescent="0.2">
      <c r="A7" s="22">
        <v>5</v>
      </c>
      <c r="B7" s="22">
        <v>2</v>
      </c>
      <c r="C7" s="18" t="s">
        <v>283</v>
      </c>
      <c r="D7" s="19">
        <v>23333.23</v>
      </c>
      <c r="E7" s="19">
        <v>43713.39</v>
      </c>
      <c r="F7" s="20">
        <f>(D7-E7)/E7</f>
        <v>-0.46622236344515949</v>
      </c>
      <c r="G7" s="21">
        <v>3369</v>
      </c>
      <c r="H7" s="22">
        <v>104</v>
      </c>
      <c r="I7" s="22">
        <f t="shared" si="0"/>
        <v>32.394230769230766</v>
      </c>
      <c r="J7" s="22">
        <v>9</v>
      </c>
      <c r="K7" s="22">
        <v>4</v>
      </c>
      <c r="L7" s="19">
        <v>211462.36</v>
      </c>
      <c r="M7" s="21">
        <v>28638</v>
      </c>
      <c r="N7" s="23">
        <v>45177</v>
      </c>
      <c r="O7" s="30" t="s">
        <v>14</v>
      </c>
      <c r="R7" s="17"/>
    </row>
    <row r="8" spans="1:18" s="24" customFormat="1" ht="25.9" customHeight="1" x14ac:dyDescent="0.2">
      <c r="A8" s="11">
        <v>6</v>
      </c>
      <c r="B8" s="22" t="s">
        <v>31</v>
      </c>
      <c r="C8" s="18" t="s">
        <v>305</v>
      </c>
      <c r="D8" s="19">
        <v>22288.7</v>
      </c>
      <c r="E8" s="20" t="s">
        <v>18</v>
      </c>
      <c r="F8" s="20" t="s">
        <v>18</v>
      </c>
      <c r="G8" s="21">
        <v>4148</v>
      </c>
      <c r="H8" s="22">
        <v>200</v>
      </c>
      <c r="I8" s="22">
        <f t="shared" si="0"/>
        <v>20.74</v>
      </c>
      <c r="J8" s="22">
        <v>16</v>
      </c>
      <c r="K8" s="22">
        <v>1</v>
      </c>
      <c r="L8" s="19">
        <v>22904.7</v>
      </c>
      <c r="M8" s="21">
        <v>4302</v>
      </c>
      <c r="N8" s="23">
        <v>45198</v>
      </c>
      <c r="O8" s="30" t="s">
        <v>13</v>
      </c>
      <c r="R8" s="17"/>
    </row>
    <row r="9" spans="1:18" s="24" customFormat="1" ht="25.9" customHeight="1" x14ac:dyDescent="0.2">
      <c r="A9" s="22">
        <v>7</v>
      </c>
      <c r="B9" s="22" t="s">
        <v>31</v>
      </c>
      <c r="C9" s="18" t="s">
        <v>304</v>
      </c>
      <c r="D9" s="19">
        <v>14858.03</v>
      </c>
      <c r="E9" s="20" t="s">
        <v>18</v>
      </c>
      <c r="F9" s="20" t="s">
        <v>18</v>
      </c>
      <c r="G9" s="21">
        <v>2160</v>
      </c>
      <c r="H9" s="22">
        <v>135</v>
      </c>
      <c r="I9" s="22">
        <f t="shared" si="0"/>
        <v>16</v>
      </c>
      <c r="J9" s="22">
        <v>14</v>
      </c>
      <c r="K9" s="22">
        <v>1</v>
      </c>
      <c r="L9" s="19">
        <v>15680.93</v>
      </c>
      <c r="M9" s="21">
        <v>2303</v>
      </c>
      <c r="N9" s="23">
        <v>45198</v>
      </c>
      <c r="O9" s="30" t="s">
        <v>16</v>
      </c>
      <c r="R9" s="17"/>
    </row>
    <row r="10" spans="1:18" s="24" customFormat="1" ht="25.5" customHeight="1" x14ac:dyDescent="0.2">
      <c r="A10" s="11">
        <v>8</v>
      </c>
      <c r="B10" s="22">
        <v>7</v>
      </c>
      <c r="C10" s="18" t="s">
        <v>222</v>
      </c>
      <c r="D10" s="19">
        <v>14821.27</v>
      </c>
      <c r="E10" s="19">
        <v>15831.96</v>
      </c>
      <c r="F10" s="20">
        <f t="shared" ref="F10:F15" si="1">(D10-E10)/E10</f>
        <v>-6.3838589789261643E-2</v>
      </c>
      <c r="G10" s="21">
        <v>2178</v>
      </c>
      <c r="H10" s="22">
        <v>60</v>
      </c>
      <c r="I10" s="22">
        <f t="shared" si="0"/>
        <v>36.299999999999997</v>
      </c>
      <c r="J10" s="22">
        <v>7</v>
      </c>
      <c r="K10" s="22">
        <v>11</v>
      </c>
      <c r="L10" s="19">
        <v>1063241.18</v>
      </c>
      <c r="M10" s="21">
        <v>149497</v>
      </c>
      <c r="N10" s="23">
        <v>45128</v>
      </c>
      <c r="O10" s="30" t="s">
        <v>179</v>
      </c>
      <c r="R10" s="17"/>
    </row>
    <row r="11" spans="1:18" s="24" customFormat="1" ht="25.5" customHeight="1" x14ac:dyDescent="0.2">
      <c r="A11" s="22">
        <v>9</v>
      </c>
      <c r="B11" s="22">
        <v>6</v>
      </c>
      <c r="C11" s="18" t="s">
        <v>292</v>
      </c>
      <c r="D11" s="19">
        <v>14532.57</v>
      </c>
      <c r="E11" s="19">
        <v>18415.32</v>
      </c>
      <c r="F11" s="20">
        <f t="shared" si="1"/>
        <v>-0.2108434716312288</v>
      </c>
      <c r="G11" s="21">
        <v>2246</v>
      </c>
      <c r="H11" s="22">
        <v>77</v>
      </c>
      <c r="I11" s="22">
        <f t="shared" si="0"/>
        <v>29.168831168831169</v>
      </c>
      <c r="J11" s="22">
        <v>10</v>
      </c>
      <c r="K11" s="22">
        <v>3</v>
      </c>
      <c r="L11" s="19">
        <v>61502.25</v>
      </c>
      <c r="M11" s="21">
        <v>9368</v>
      </c>
      <c r="N11" s="23">
        <v>45184</v>
      </c>
      <c r="O11" s="30" t="s">
        <v>40</v>
      </c>
      <c r="R11" s="17"/>
    </row>
    <row r="12" spans="1:18" s="24" customFormat="1" ht="25.9" customHeight="1" x14ac:dyDescent="0.2">
      <c r="A12" s="11">
        <v>10</v>
      </c>
      <c r="B12" s="22">
        <v>4</v>
      </c>
      <c r="C12" s="18" t="s">
        <v>297</v>
      </c>
      <c r="D12" s="19">
        <v>12387.8</v>
      </c>
      <c r="E12" s="19">
        <v>29949.43</v>
      </c>
      <c r="F12" s="20">
        <f t="shared" si="1"/>
        <v>-0.58637610131478302</v>
      </c>
      <c r="G12" s="21">
        <v>1801</v>
      </c>
      <c r="H12" s="22">
        <v>97</v>
      </c>
      <c r="I12" s="22">
        <f t="shared" si="0"/>
        <v>18.567010309278352</v>
      </c>
      <c r="J12" s="22">
        <v>11</v>
      </c>
      <c r="K12" s="22">
        <v>2</v>
      </c>
      <c r="L12" s="19">
        <v>43640.43</v>
      </c>
      <c r="M12" s="21">
        <v>6288</v>
      </c>
      <c r="N12" s="23">
        <v>45191</v>
      </c>
      <c r="O12" s="30" t="s">
        <v>64</v>
      </c>
      <c r="R12" s="17"/>
    </row>
    <row r="13" spans="1:18" s="27" customFormat="1" ht="25.5" customHeight="1" x14ac:dyDescent="0.15">
      <c r="A13" s="22">
        <v>11</v>
      </c>
      <c r="B13" s="22">
        <v>8</v>
      </c>
      <c r="C13" s="18" t="s">
        <v>302</v>
      </c>
      <c r="D13" s="19">
        <v>9113</v>
      </c>
      <c r="E13" s="19">
        <v>15796</v>
      </c>
      <c r="F13" s="20">
        <f t="shared" si="1"/>
        <v>-0.42308179285895164</v>
      </c>
      <c r="G13" s="21">
        <v>1863</v>
      </c>
      <c r="H13" s="22" t="s">
        <v>18</v>
      </c>
      <c r="I13" s="22" t="s">
        <v>18</v>
      </c>
      <c r="J13" s="22">
        <v>14</v>
      </c>
      <c r="K13" s="22">
        <v>2</v>
      </c>
      <c r="L13" s="19">
        <v>24909</v>
      </c>
      <c r="M13" s="21">
        <v>4988</v>
      </c>
      <c r="N13" s="23">
        <v>45191</v>
      </c>
      <c r="O13" s="30" t="s">
        <v>15</v>
      </c>
    </row>
    <row r="14" spans="1:18" s="27" customFormat="1" ht="25.9" customHeight="1" x14ac:dyDescent="0.15">
      <c r="A14" s="11">
        <v>12</v>
      </c>
      <c r="B14" s="22">
        <v>5</v>
      </c>
      <c r="C14" s="18" t="s">
        <v>290</v>
      </c>
      <c r="D14" s="19">
        <v>8259</v>
      </c>
      <c r="E14" s="19">
        <v>21660</v>
      </c>
      <c r="F14" s="20">
        <f t="shared" si="1"/>
        <v>-0.61869806094182822</v>
      </c>
      <c r="G14" s="21">
        <v>1305</v>
      </c>
      <c r="H14" s="20" t="s">
        <v>18</v>
      </c>
      <c r="I14" s="20" t="s">
        <v>18</v>
      </c>
      <c r="J14" s="22">
        <v>10</v>
      </c>
      <c r="K14" s="22">
        <v>3</v>
      </c>
      <c r="L14" s="19">
        <v>84404</v>
      </c>
      <c r="M14" s="21">
        <v>12408</v>
      </c>
      <c r="N14" s="23">
        <v>45184</v>
      </c>
      <c r="O14" s="30" t="s">
        <v>15</v>
      </c>
    </row>
    <row r="15" spans="1:18" s="27" customFormat="1" ht="25.9" customHeight="1" x14ac:dyDescent="0.2">
      <c r="A15" s="22">
        <v>13</v>
      </c>
      <c r="B15" s="22">
        <v>10</v>
      </c>
      <c r="C15" s="18" t="s">
        <v>274</v>
      </c>
      <c r="D15" s="19">
        <v>8125.84</v>
      </c>
      <c r="E15" s="19">
        <v>9876.91</v>
      </c>
      <c r="F15" s="20">
        <f t="shared" si="1"/>
        <v>-0.17728925342035107</v>
      </c>
      <c r="G15" s="21">
        <v>1599</v>
      </c>
      <c r="H15" s="22">
        <v>72</v>
      </c>
      <c r="I15" s="22">
        <f t="shared" ref="I15:I25" si="2">G15/H15</f>
        <v>22.208333333333332</v>
      </c>
      <c r="J15" s="22">
        <v>10</v>
      </c>
      <c r="K15" s="22">
        <v>6</v>
      </c>
      <c r="L15" s="19">
        <v>115246.75000000001</v>
      </c>
      <c r="M15" s="21">
        <v>23269</v>
      </c>
      <c r="N15" s="23">
        <v>45163</v>
      </c>
      <c r="O15" s="30" t="s">
        <v>16</v>
      </c>
      <c r="P15" s="77"/>
    </row>
    <row r="16" spans="1:18" s="27" customFormat="1" ht="25.9" customHeight="1" x14ac:dyDescent="0.2">
      <c r="A16" s="11">
        <v>14</v>
      </c>
      <c r="B16" s="22" t="s">
        <v>31</v>
      </c>
      <c r="C16" s="7" t="s">
        <v>314</v>
      </c>
      <c r="D16" s="8">
        <v>8091.73</v>
      </c>
      <c r="E16" s="19" t="s">
        <v>18</v>
      </c>
      <c r="F16" s="20" t="s">
        <v>18</v>
      </c>
      <c r="G16" s="10">
        <v>1278</v>
      </c>
      <c r="H16" s="11">
        <v>111</v>
      </c>
      <c r="I16" s="22">
        <f t="shared" si="2"/>
        <v>11.513513513513514</v>
      </c>
      <c r="J16" s="11">
        <v>11</v>
      </c>
      <c r="K16" s="11">
        <v>1</v>
      </c>
      <c r="L16" s="19">
        <v>8091.73</v>
      </c>
      <c r="M16" s="21">
        <v>1278</v>
      </c>
      <c r="N16" s="12">
        <v>45198</v>
      </c>
      <c r="O16" s="31" t="s">
        <v>315</v>
      </c>
      <c r="P16" s="77"/>
    </row>
    <row r="17" spans="1:16" s="27" customFormat="1" ht="25.5" customHeight="1" x14ac:dyDescent="0.2">
      <c r="A17" s="22">
        <v>15</v>
      </c>
      <c r="B17" s="22">
        <v>9</v>
      </c>
      <c r="C17" s="18" t="s">
        <v>239</v>
      </c>
      <c r="D17" s="19">
        <v>7797.73</v>
      </c>
      <c r="E17" s="19">
        <v>10811.23</v>
      </c>
      <c r="F17" s="20">
        <f>(D17-E17)/E17</f>
        <v>-0.27873794193630141</v>
      </c>
      <c r="G17" s="21">
        <v>1266</v>
      </c>
      <c r="H17" s="22">
        <v>37</v>
      </c>
      <c r="I17" s="22">
        <f t="shared" si="2"/>
        <v>34.216216216216218</v>
      </c>
      <c r="J17" s="22">
        <v>5</v>
      </c>
      <c r="K17" s="22">
        <v>8</v>
      </c>
      <c r="L17" s="19">
        <v>228853.65</v>
      </c>
      <c r="M17" s="21">
        <v>36427</v>
      </c>
      <c r="N17" s="23">
        <v>45149</v>
      </c>
      <c r="O17" s="30" t="s">
        <v>12</v>
      </c>
      <c r="P17" s="77"/>
    </row>
    <row r="18" spans="1:16" s="27" customFormat="1" ht="25.9" customHeight="1" x14ac:dyDescent="0.2">
      <c r="A18" s="11">
        <v>16</v>
      </c>
      <c r="B18" s="22">
        <v>14</v>
      </c>
      <c r="C18" s="18" t="s">
        <v>181</v>
      </c>
      <c r="D18" s="19">
        <v>5160.21</v>
      </c>
      <c r="E18" s="19">
        <v>4469.68</v>
      </c>
      <c r="F18" s="20">
        <f>(D18-E18)/E18</f>
        <v>0.1544920441731846</v>
      </c>
      <c r="G18" s="21">
        <v>977</v>
      </c>
      <c r="H18" s="22">
        <v>35</v>
      </c>
      <c r="I18" s="22">
        <f t="shared" si="2"/>
        <v>27.914285714285715</v>
      </c>
      <c r="J18" s="22">
        <v>4</v>
      </c>
      <c r="K18" s="22">
        <v>16</v>
      </c>
      <c r="L18" s="19">
        <v>502753.11</v>
      </c>
      <c r="M18" s="21">
        <v>99194</v>
      </c>
      <c r="N18" s="23">
        <v>45093</v>
      </c>
      <c r="O18" s="30" t="s">
        <v>40</v>
      </c>
      <c r="P18" s="77"/>
    </row>
    <row r="19" spans="1:16" s="27" customFormat="1" ht="25.5" customHeight="1" x14ac:dyDescent="0.2">
      <c r="A19" s="22">
        <v>17</v>
      </c>
      <c r="B19" s="22">
        <v>12</v>
      </c>
      <c r="C19" s="18" t="s">
        <v>271</v>
      </c>
      <c r="D19" s="19">
        <v>3259.24</v>
      </c>
      <c r="E19" s="19">
        <v>6464.11</v>
      </c>
      <c r="F19" s="20">
        <f>(D19-E19)/E19</f>
        <v>-0.49579447131933091</v>
      </c>
      <c r="G19" s="21">
        <v>459</v>
      </c>
      <c r="H19" s="22">
        <v>16</v>
      </c>
      <c r="I19" s="22">
        <f t="shared" si="2"/>
        <v>28.6875</v>
      </c>
      <c r="J19" s="22">
        <v>3</v>
      </c>
      <c r="K19" s="22">
        <v>5</v>
      </c>
      <c r="L19" s="19">
        <v>71913.679999999993</v>
      </c>
      <c r="M19" s="21">
        <v>10263</v>
      </c>
      <c r="N19" s="23">
        <v>45170</v>
      </c>
      <c r="O19" s="30" t="s">
        <v>12</v>
      </c>
      <c r="P19" s="77"/>
    </row>
    <row r="20" spans="1:16" s="27" customFormat="1" ht="25.9" customHeight="1" x14ac:dyDescent="0.2">
      <c r="A20" s="11">
        <v>18</v>
      </c>
      <c r="B20" s="22">
        <v>13</v>
      </c>
      <c r="C20" s="18" t="s">
        <v>213</v>
      </c>
      <c r="D20" s="19">
        <v>2496.71</v>
      </c>
      <c r="E20" s="19">
        <v>5656.2</v>
      </c>
      <c r="F20" s="20">
        <f>(D20-E20)/E20</f>
        <v>-0.55858880520490783</v>
      </c>
      <c r="G20" s="21">
        <v>382</v>
      </c>
      <c r="H20" s="22">
        <v>11</v>
      </c>
      <c r="I20" s="22">
        <f t="shared" si="2"/>
        <v>34.727272727272727</v>
      </c>
      <c r="J20" s="22">
        <v>3</v>
      </c>
      <c r="K20" s="22">
        <v>11</v>
      </c>
      <c r="L20" s="19">
        <v>1155072.82</v>
      </c>
      <c r="M20" s="21">
        <v>175723</v>
      </c>
      <c r="N20" s="23">
        <v>45128</v>
      </c>
      <c r="O20" s="30" t="s">
        <v>14</v>
      </c>
      <c r="P20" s="77"/>
    </row>
    <row r="21" spans="1:16" s="27" customFormat="1" ht="25.5" customHeight="1" x14ac:dyDescent="0.2">
      <c r="A21" s="22">
        <v>19</v>
      </c>
      <c r="B21" s="22" t="s">
        <v>57</v>
      </c>
      <c r="C21" s="18" t="s">
        <v>319</v>
      </c>
      <c r="D21" s="19">
        <v>1925.29</v>
      </c>
      <c r="E21" s="19" t="s">
        <v>18</v>
      </c>
      <c r="F21" s="20" t="s">
        <v>18</v>
      </c>
      <c r="G21" s="21">
        <v>259</v>
      </c>
      <c r="H21" s="22">
        <v>5</v>
      </c>
      <c r="I21" s="22">
        <f t="shared" si="2"/>
        <v>51.8</v>
      </c>
      <c r="J21" s="22">
        <v>5</v>
      </c>
      <c r="K21" s="22">
        <v>0</v>
      </c>
      <c r="L21" s="19">
        <v>1925.29</v>
      </c>
      <c r="M21" s="21">
        <v>259</v>
      </c>
      <c r="N21" s="23" t="s">
        <v>59</v>
      </c>
      <c r="O21" s="30" t="s">
        <v>40</v>
      </c>
      <c r="P21" s="77"/>
    </row>
    <row r="22" spans="1:16" s="27" customFormat="1" ht="25.5" customHeight="1" x14ac:dyDescent="0.2">
      <c r="A22" s="11">
        <v>20</v>
      </c>
      <c r="B22" s="22">
        <v>19</v>
      </c>
      <c r="C22" s="18" t="s">
        <v>264</v>
      </c>
      <c r="D22" s="19">
        <v>1297.5</v>
      </c>
      <c r="E22" s="19">
        <v>1074.5</v>
      </c>
      <c r="F22" s="20">
        <f>(D22-E22)/E22</f>
        <v>0.20753838994881341</v>
      </c>
      <c r="G22" s="21">
        <v>279</v>
      </c>
      <c r="H22" s="22">
        <v>5</v>
      </c>
      <c r="I22" s="22">
        <f t="shared" si="2"/>
        <v>55.8</v>
      </c>
      <c r="J22" s="22">
        <v>3</v>
      </c>
      <c r="K22" s="22">
        <v>7</v>
      </c>
      <c r="L22" s="19">
        <v>40792.589999999997</v>
      </c>
      <c r="M22" s="21">
        <v>7128</v>
      </c>
      <c r="N22" s="23">
        <v>45156</v>
      </c>
      <c r="O22" s="30" t="s">
        <v>64</v>
      </c>
      <c r="P22" s="77"/>
    </row>
    <row r="23" spans="1:16" s="27" customFormat="1" ht="25.5" customHeight="1" x14ac:dyDescent="0.2">
      <c r="A23" s="22">
        <v>21</v>
      </c>
      <c r="B23" s="22">
        <v>16</v>
      </c>
      <c r="C23" s="18" t="s">
        <v>308</v>
      </c>
      <c r="D23" s="19">
        <v>1290.26</v>
      </c>
      <c r="E23" s="19">
        <v>2577.21</v>
      </c>
      <c r="F23" s="20">
        <f>(D23-E23)/E23</f>
        <v>-0.49935783269504619</v>
      </c>
      <c r="G23" s="21">
        <v>356</v>
      </c>
      <c r="H23" s="22">
        <v>14</v>
      </c>
      <c r="I23" s="22">
        <f t="shared" si="2"/>
        <v>25.428571428571427</v>
      </c>
      <c r="J23" s="22">
        <v>8</v>
      </c>
      <c r="K23" s="22">
        <v>2</v>
      </c>
      <c r="L23" s="19">
        <v>4003.47</v>
      </c>
      <c r="M23" s="21">
        <v>969</v>
      </c>
      <c r="N23" s="23">
        <v>45191</v>
      </c>
      <c r="O23" s="30" t="s">
        <v>30</v>
      </c>
      <c r="P23" s="77"/>
    </row>
    <row r="24" spans="1:16" s="27" customFormat="1" ht="25.5" customHeight="1" x14ac:dyDescent="0.2">
      <c r="A24" s="11">
        <v>22</v>
      </c>
      <c r="B24" s="22">
        <v>11</v>
      </c>
      <c r="C24" s="18" t="s">
        <v>306</v>
      </c>
      <c r="D24" s="19">
        <v>1098.3900000000001</v>
      </c>
      <c r="E24" s="19">
        <v>8825.4</v>
      </c>
      <c r="F24" s="20">
        <f>(D24-E24)/E24</f>
        <v>-0.87554218505676795</v>
      </c>
      <c r="G24" s="21">
        <v>139</v>
      </c>
      <c r="H24" s="22">
        <v>8</v>
      </c>
      <c r="I24" s="22">
        <f t="shared" si="2"/>
        <v>17.375</v>
      </c>
      <c r="J24" s="22">
        <v>2</v>
      </c>
      <c r="K24" s="22">
        <v>2</v>
      </c>
      <c r="L24" s="19">
        <v>9923.7900000000009</v>
      </c>
      <c r="M24" s="21">
        <v>1629</v>
      </c>
      <c r="N24" s="23">
        <v>45191</v>
      </c>
      <c r="O24" s="30" t="s">
        <v>64</v>
      </c>
      <c r="P24" s="77"/>
    </row>
    <row r="25" spans="1:16" s="27" customFormat="1" ht="25.5" customHeight="1" x14ac:dyDescent="0.2">
      <c r="A25" s="22">
        <v>23</v>
      </c>
      <c r="B25" s="22" t="s">
        <v>57</v>
      </c>
      <c r="C25" s="18" t="s">
        <v>318</v>
      </c>
      <c r="D25" s="19">
        <v>1078.4000000000001</v>
      </c>
      <c r="E25" s="19" t="s">
        <v>18</v>
      </c>
      <c r="F25" s="20" t="s">
        <v>18</v>
      </c>
      <c r="G25" s="21">
        <v>148</v>
      </c>
      <c r="H25" s="22">
        <v>4</v>
      </c>
      <c r="I25" s="22">
        <f t="shared" si="2"/>
        <v>37</v>
      </c>
      <c r="J25" s="22">
        <v>4</v>
      </c>
      <c r="K25" s="22">
        <v>0</v>
      </c>
      <c r="L25" s="19">
        <v>1078.4000000000001</v>
      </c>
      <c r="M25" s="21">
        <v>148</v>
      </c>
      <c r="N25" s="23" t="s">
        <v>59</v>
      </c>
      <c r="O25" s="30" t="s">
        <v>179</v>
      </c>
      <c r="P25" s="77"/>
    </row>
    <row r="26" spans="1:16" s="27" customFormat="1" ht="25.5" customHeight="1" x14ac:dyDescent="0.2">
      <c r="A26" s="11">
        <v>24</v>
      </c>
      <c r="B26" s="22">
        <v>20</v>
      </c>
      <c r="C26" s="18" t="s">
        <v>289</v>
      </c>
      <c r="D26" s="74">
        <v>890</v>
      </c>
      <c r="E26" s="19">
        <v>980</v>
      </c>
      <c r="F26" s="20">
        <f>(D26-E26)/E26</f>
        <v>-9.1836734693877556E-2</v>
      </c>
      <c r="G26" s="73">
        <v>286</v>
      </c>
      <c r="H26" s="20" t="s">
        <v>18</v>
      </c>
      <c r="I26" s="20" t="s">
        <v>18</v>
      </c>
      <c r="J26" s="22">
        <v>3</v>
      </c>
      <c r="K26" s="75">
        <v>4</v>
      </c>
      <c r="L26" s="74">
        <v>9373</v>
      </c>
      <c r="M26" s="73">
        <v>1818</v>
      </c>
      <c r="N26" s="23">
        <v>45177</v>
      </c>
      <c r="O26" s="30" t="s">
        <v>15</v>
      </c>
      <c r="P26" s="77"/>
    </row>
    <row r="27" spans="1:16" s="27" customFormat="1" ht="25.5" customHeight="1" x14ac:dyDescent="0.2">
      <c r="A27" s="22">
        <v>25</v>
      </c>
      <c r="B27" s="22">
        <v>17</v>
      </c>
      <c r="C27" s="18" t="s">
        <v>280</v>
      </c>
      <c r="D27" s="19">
        <v>858</v>
      </c>
      <c r="E27" s="19">
        <v>2335</v>
      </c>
      <c r="F27" s="20">
        <f>(D27-E27)/E27</f>
        <v>-0.63254817987152034</v>
      </c>
      <c r="G27" s="21">
        <v>187</v>
      </c>
      <c r="H27" s="22" t="s">
        <v>18</v>
      </c>
      <c r="I27" s="22" t="s">
        <v>18</v>
      </c>
      <c r="J27" s="22">
        <v>1</v>
      </c>
      <c r="K27" s="22">
        <v>5</v>
      </c>
      <c r="L27" s="19">
        <v>40191</v>
      </c>
      <c r="M27" s="21">
        <v>8327</v>
      </c>
      <c r="N27" s="23">
        <v>45170</v>
      </c>
      <c r="O27" s="30" t="s">
        <v>15</v>
      </c>
      <c r="P27" s="77"/>
    </row>
    <row r="28" spans="1:16" s="27" customFormat="1" ht="25.5" customHeight="1" x14ac:dyDescent="0.2">
      <c r="A28" s="11">
        <v>26</v>
      </c>
      <c r="B28" s="22" t="s">
        <v>57</v>
      </c>
      <c r="C28" s="18" t="s">
        <v>323</v>
      </c>
      <c r="D28" s="19">
        <v>495.6</v>
      </c>
      <c r="E28" s="19" t="s">
        <v>18</v>
      </c>
      <c r="F28" s="20" t="s">
        <v>18</v>
      </c>
      <c r="G28" s="21">
        <v>80</v>
      </c>
      <c r="H28" s="22">
        <v>7</v>
      </c>
      <c r="I28" s="22">
        <f>G28/H28</f>
        <v>11.428571428571429</v>
      </c>
      <c r="J28" s="22">
        <v>7</v>
      </c>
      <c r="K28" s="22">
        <v>0</v>
      </c>
      <c r="L28" s="19">
        <v>495.6</v>
      </c>
      <c r="M28" s="21">
        <v>80</v>
      </c>
      <c r="N28" s="23" t="s">
        <v>59</v>
      </c>
      <c r="O28" s="30" t="s">
        <v>13</v>
      </c>
      <c r="P28" s="77"/>
    </row>
    <row r="29" spans="1:16" s="27" customFormat="1" ht="25.5" customHeight="1" x14ac:dyDescent="0.2">
      <c r="A29" s="22">
        <v>27</v>
      </c>
      <c r="B29" s="22">
        <v>31</v>
      </c>
      <c r="C29" s="18" t="s">
        <v>261</v>
      </c>
      <c r="D29" s="19">
        <v>485.4</v>
      </c>
      <c r="E29" s="19">
        <v>201.9</v>
      </c>
      <c r="F29" s="20">
        <f>(D29-E29)/E29</f>
        <v>1.4041604754829122</v>
      </c>
      <c r="G29" s="21">
        <v>77</v>
      </c>
      <c r="H29" s="22">
        <v>3</v>
      </c>
      <c r="I29" s="22">
        <f>G29/H29</f>
        <v>25.666666666666668</v>
      </c>
      <c r="J29" s="22">
        <v>2</v>
      </c>
      <c r="K29" s="22">
        <v>7</v>
      </c>
      <c r="L29" s="19">
        <v>7146.8</v>
      </c>
      <c r="M29" s="21">
        <v>1132</v>
      </c>
      <c r="N29" s="23">
        <v>45156</v>
      </c>
      <c r="O29" s="30" t="s">
        <v>30</v>
      </c>
      <c r="P29" s="77"/>
    </row>
    <row r="30" spans="1:16" s="27" customFormat="1" ht="25.5" customHeight="1" x14ac:dyDescent="0.2">
      <c r="A30" s="11">
        <v>28</v>
      </c>
      <c r="B30" s="22">
        <v>18</v>
      </c>
      <c r="C30" s="18" t="s">
        <v>272</v>
      </c>
      <c r="D30" s="19">
        <v>461</v>
      </c>
      <c r="E30" s="19">
        <v>2081</v>
      </c>
      <c r="F30" s="20">
        <f>(D30-E30)/E30</f>
        <v>-0.77847188851513693</v>
      </c>
      <c r="G30" s="21">
        <v>66</v>
      </c>
      <c r="H30" s="22" t="s">
        <v>18</v>
      </c>
      <c r="I30" s="22" t="s">
        <v>18</v>
      </c>
      <c r="J30" s="22">
        <v>1</v>
      </c>
      <c r="K30" s="22">
        <v>6</v>
      </c>
      <c r="L30" s="19">
        <v>68064</v>
      </c>
      <c r="M30" s="21">
        <v>10613</v>
      </c>
      <c r="N30" s="23">
        <v>45132</v>
      </c>
      <c r="O30" s="30" t="s">
        <v>15</v>
      </c>
      <c r="P30" s="77"/>
    </row>
    <row r="31" spans="1:16" s="27" customFormat="1" ht="25.5" customHeight="1" x14ac:dyDescent="0.2">
      <c r="A31" s="22">
        <v>29</v>
      </c>
      <c r="B31" s="19" t="s">
        <v>18</v>
      </c>
      <c r="C31" s="7" t="s">
        <v>193</v>
      </c>
      <c r="D31" s="8">
        <v>370</v>
      </c>
      <c r="E31" s="19" t="s">
        <v>18</v>
      </c>
      <c r="F31" s="20" t="s">
        <v>18</v>
      </c>
      <c r="G31" s="10">
        <v>152</v>
      </c>
      <c r="H31" s="11">
        <v>1</v>
      </c>
      <c r="I31" s="11">
        <f>G31/H31</f>
        <v>152</v>
      </c>
      <c r="J31" s="11">
        <v>1</v>
      </c>
      <c r="K31" s="20" t="s">
        <v>18</v>
      </c>
      <c r="L31" s="19">
        <v>3578.1</v>
      </c>
      <c r="M31" s="21">
        <v>1209</v>
      </c>
      <c r="N31" s="12">
        <v>44007</v>
      </c>
      <c r="O31" s="31" t="s">
        <v>68</v>
      </c>
      <c r="P31" s="77"/>
    </row>
    <row r="32" spans="1:16" s="27" customFormat="1" ht="25.5" customHeight="1" x14ac:dyDescent="0.2">
      <c r="A32" s="11">
        <v>30</v>
      </c>
      <c r="B32" s="22">
        <v>22</v>
      </c>
      <c r="C32" s="18" t="s">
        <v>281</v>
      </c>
      <c r="D32" s="19">
        <v>355</v>
      </c>
      <c r="E32" s="19">
        <v>916</v>
      </c>
      <c r="F32" s="20">
        <f>(D32-E32)/E32</f>
        <v>-0.61244541484716153</v>
      </c>
      <c r="G32" s="21">
        <v>49</v>
      </c>
      <c r="H32" s="22" t="s">
        <v>18</v>
      </c>
      <c r="I32" s="22" t="s">
        <v>18</v>
      </c>
      <c r="J32" s="22">
        <v>2</v>
      </c>
      <c r="K32" s="22">
        <v>5</v>
      </c>
      <c r="L32" s="19">
        <v>23348</v>
      </c>
      <c r="M32" s="21">
        <v>3494</v>
      </c>
      <c r="N32" s="23">
        <v>45170</v>
      </c>
      <c r="O32" s="30" t="s">
        <v>15</v>
      </c>
      <c r="P32" s="77"/>
    </row>
    <row r="33" spans="1:16" s="27" customFormat="1" ht="25.5" customHeight="1" x14ac:dyDescent="0.2">
      <c r="A33" s="22">
        <v>31</v>
      </c>
      <c r="B33" s="19" t="s">
        <v>18</v>
      </c>
      <c r="C33" s="7" t="s">
        <v>192</v>
      </c>
      <c r="D33" s="8">
        <v>302.8</v>
      </c>
      <c r="E33" s="19" t="s">
        <v>18</v>
      </c>
      <c r="F33" s="20" t="s">
        <v>18</v>
      </c>
      <c r="G33" s="10">
        <v>44</v>
      </c>
      <c r="H33" s="11">
        <v>1</v>
      </c>
      <c r="I33" s="22">
        <f>G33/H33</f>
        <v>44</v>
      </c>
      <c r="J33" s="11">
        <v>1</v>
      </c>
      <c r="K33" s="11" t="s">
        <v>18</v>
      </c>
      <c r="L33" s="19">
        <v>104289.1</v>
      </c>
      <c r="M33" s="21">
        <v>16189</v>
      </c>
      <c r="N33" s="12">
        <v>44869</v>
      </c>
      <c r="O33" s="31" t="s">
        <v>13</v>
      </c>
      <c r="P33" s="77"/>
    </row>
    <row r="34" spans="1:16" s="27" customFormat="1" ht="25.5" customHeight="1" x14ac:dyDescent="0.2">
      <c r="A34" s="11">
        <v>32</v>
      </c>
      <c r="B34" s="22">
        <v>32</v>
      </c>
      <c r="C34" s="18" t="s">
        <v>142</v>
      </c>
      <c r="D34" s="19">
        <v>246</v>
      </c>
      <c r="E34" s="19">
        <v>147</v>
      </c>
      <c r="F34" s="20">
        <f>(D34-E34)/E34</f>
        <v>0.67346938775510201</v>
      </c>
      <c r="G34" s="21">
        <v>43</v>
      </c>
      <c r="H34" s="22">
        <v>1</v>
      </c>
      <c r="I34" s="22">
        <f>G34/H34</f>
        <v>43</v>
      </c>
      <c r="J34" s="22">
        <v>1</v>
      </c>
      <c r="K34" s="11" t="s">
        <v>18</v>
      </c>
      <c r="L34" s="19">
        <v>10062.4</v>
      </c>
      <c r="M34" s="21">
        <v>1757</v>
      </c>
      <c r="N34" s="23">
        <v>45065</v>
      </c>
      <c r="O34" s="30" t="s">
        <v>40</v>
      </c>
      <c r="P34" s="77"/>
    </row>
    <row r="35" spans="1:16" s="27" customFormat="1" ht="25.5" customHeight="1" x14ac:dyDescent="0.2">
      <c r="A35" s="22">
        <v>33</v>
      </c>
      <c r="B35" s="22" t="s">
        <v>31</v>
      </c>
      <c r="C35" s="7" t="s">
        <v>316</v>
      </c>
      <c r="D35" s="8">
        <v>155.46</v>
      </c>
      <c r="E35" s="19" t="s">
        <v>18</v>
      </c>
      <c r="F35" s="20" t="s">
        <v>18</v>
      </c>
      <c r="G35" s="10">
        <v>30</v>
      </c>
      <c r="H35" s="11">
        <v>11</v>
      </c>
      <c r="I35" s="11">
        <f>G35/H35</f>
        <v>2.7272727272727271</v>
      </c>
      <c r="J35" s="11">
        <v>3</v>
      </c>
      <c r="K35" s="11">
        <v>1</v>
      </c>
      <c r="L35" s="8">
        <v>155.46</v>
      </c>
      <c r="M35" s="10">
        <v>30</v>
      </c>
      <c r="N35" s="12">
        <v>45198</v>
      </c>
      <c r="O35" s="31" t="s">
        <v>48</v>
      </c>
      <c r="P35" s="77"/>
    </row>
    <row r="36" spans="1:16" s="27" customFormat="1" ht="25.5" customHeight="1" x14ac:dyDescent="0.2">
      <c r="A36" s="11">
        <v>34</v>
      </c>
      <c r="B36" s="19" t="s">
        <v>18</v>
      </c>
      <c r="C36" s="7" t="s">
        <v>260</v>
      </c>
      <c r="D36" s="8">
        <v>142</v>
      </c>
      <c r="E36" s="19" t="s">
        <v>18</v>
      </c>
      <c r="F36" s="20" t="s">
        <v>18</v>
      </c>
      <c r="G36" s="10">
        <v>36</v>
      </c>
      <c r="H36" s="11">
        <v>2</v>
      </c>
      <c r="I36" s="11">
        <f>G36/H36</f>
        <v>18</v>
      </c>
      <c r="J36" s="11">
        <v>2</v>
      </c>
      <c r="K36" s="11" t="s">
        <v>18</v>
      </c>
      <c r="L36" s="19">
        <v>2302.1</v>
      </c>
      <c r="M36" s="21">
        <v>437</v>
      </c>
      <c r="N36" s="12">
        <v>45156</v>
      </c>
      <c r="O36" s="31" t="s">
        <v>68</v>
      </c>
      <c r="P36" s="77"/>
    </row>
    <row r="37" spans="1:16" s="27" customFormat="1" ht="25.5" customHeight="1" x14ac:dyDescent="0.2">
      <c r="A37" s="22">
        <v>35</v>
      </c>
      <c r="B37" s="22">
        <v>29</v>
      </c>
      <c r="C37" s="18" t="s">
        <v>146</v>
      </c>
      <c r="D37" s="19">
        <v>94.3</v>
      </c>
      <c r="E37" s="19">
        <v>215.3</v>
      </c>
      <c r="F37" s="20">
        <f>(D37-E37)/E37</f>
        <v>-0.56200650255457507</v>
      </c>
      <c r="G37" s="21">
        <v>13</v>
      </c>
      <c r="H37" s="22">
        <v>1</v>
      </c>
      <c r="I37" s="22">
        <v>13</v>
      </c>
      <c r="J37" s="22">
        <v>1</v>
      </c>
      <c r="K37" s="22" t="s">
        <v>18</v>
      </c>
      <c r="L37" s="19">
        <v>10595.100000000002</v>
      </c>
      <c r="M37" s="21">
        <v>1615</v>
      </c>
      <c r="N37" s="23">
        <v>45079</v>
      </c>
      <c r="O37" s="30" t="s">
        <v>16</v>
      </c>
      <c r="P37" s="77"/>
    </row>
    <row r="38" spans="1:16" s="27" customFormat="1" ht="25.5" customHeight="1" x14ac:dyDescent="0.2">
      <c r="A38" s="11">
        <v>36</v>
      </c>
      <c r="B38" s="19" t="s">
        <v>18</v>
      </c>
      <c r="C38" s="7" t="s">
        <v>75</v>
      </c>
      <c r="D38" s="8">
        <v>79</v>
      </c>
      <c r="E38" s="19" t="s">
        <v>18</v>
      </c>
      <c r="F38" s="20" t="s">
        <v>18</v>
      </c>
      <c r="G38" s="10">
        <v>14</v>
      </c>
      <c r="H38" s="11">
        <v>1</v>
      </c>
      <c r="I38" s="11">
        <f>G38/H38</f>
        <v>14</v>
      </c>
      <c r="J38" s="11">
        <v>1</v>
      </c>
      <c r="K38" s="11" t="s">
        <v>18</v>
      </c>
      <c r="L38" s="19">
        <v>11195.2</v>
      </c>
      <c r="M38" s="21">
        <v>1922</v>
      </c>
      <c r="N38" s="12">
        <v>45012</v>
      </c>
      <c r="O38" s="31" t="s">
        <v>68</v>
      </c>
      <c r="P38" s="77"/>
    </row>
    <row r="39" spans="1:16" s="27" customFormat="1" ht="25.5" customHeight="1" x14ac:dyDescent="0.2">
      <c r="A39" s="22">
        <v>37</v>
      </c>
      <c r="B39" s="19" t="s">
        <v>18</v>
      </c>
      <c r="C39" s="18" t="s">
        <v>154</v>
      </c>
      <c r="D39" s="19">
        <v>67.5</v>
      </c>
      <c r="E39" s="19" t="s">
        <v>18</v>
      </c>
      <c r="F39" s="20" t="s">
        <v>18</v>
      </c>
      <c r="G39" s="21">
        <v>15</v>
      </c>
      <c r="H39" s="22">
        <v>1</v>
      </c>
      <c r="I39" s="22">
        <f>G39/H39</f>
        <v>15</v>
      </c>
      <c r="J39" s="22">
        <v>1</v>
      </c>
      <c r="K39" s="22" t="s">
        <v>18</v>
      </c>
      <c r="L39" s="19">
        <v>187875.48</v>
      </c>
      <c r="M39" s="21">
        <v>46835</v>
      </c>
      <c r="N39" s="23">
        <v>44659</v>
      </c>
      <c r="O39" s="30" t="s">
        <v>13</v>
      </c>
      <c r="P39" s="77"/>
    </row>
    <row r="40" spans="1:16" s="27" customFormat="1" ht="25.5" customHeight="1" x14ac:dyDescent="0.2">
      <c r="A40" s="11">
        <v>38</v>
      </c>
      <c r="B40" s="19" t="s">
        <v>18</v>
      </c>
      <c r="C40" s="7" t="s">
        <v>198</v>
      </c>
      <c r="D40" s="8">
        <v>48</v>
      </c>
      <c r="E40" s="19" t="s">
        <v>18</v>
      </c>
      <c r="F40" s="20" t="s">
        <v>18</v>
      </c>
      <c r="G40" s="10">
        <v>12</v>
      </c>
      <c r="H40" s="11">
        <v>1</v>
      </c>
      <c r="I40" s="22">
        <f>G40/H40</f>
        <v>12</v>
      </c>
      <c r="J40" s="11">
        <v>1</v>
      </c>
      <c r="K40" s="22" t="s">
        <v>18</v>
      </c>
      <c r="L40" s="19">
        <v>205636.61</v>
      </c>
      <c r="M40" s="21">
        <v>41780</v>
      </c>
      <c r="N40" s="12">
        <v>45121</v>
      </c>
      <c r="O40" s="31" t="s">
        <v>13</v>
      </c>
      <c r="P40" s="77"/>
    </row>
    <row r="41" spans="1:16" s="27" customFormat="1" ht="25.5" customHeight="1" x14ac:dyDescent="0.2">
      <c r="A41" s="22">
        <v>39</v>
      </c>
      <c r="B41" s="19" t="s">
        <v>18</v>
      </c>
      <c r="C41" s="7" t="s">
        <v>50</v>
      </c>
      <c r="D41" s="8">
        <v>30</v>
      </c>
      <c r="E41" s="19" t="s">
        <v>18</v>
      </c>
      <c r="F41" s="20" t="s">
        <v>18</v>
      </c>
      <c r="G41" s="10">
        <v>10</v>
      </c>
      <c r="H41" s="11">
        <v>1</v>
      </c>
      <c r="I41" s="11">
        <f>G41/H41</f>
        <v>10</v>
      </c>
      <c r="J41" s="11">
        <v>1</v>
      </c>
      <c r="K41" s="11" t="s">
        <v>18</v>
      </c>
      <c r="L41" s="19">
        <v>249449.61000000002</v>
      </c>
      <c r="M41" s="21">
        <v>49751</v>
      </c>
      <c r="N41" s="12">
        <v>45037</v>
      </c>
      <c r="O41" s="31" t="s">
        <v>51</v>
      </c>
      <c r="P41" s="77"/>
    </row>
    <row r="42" spans="1:16" s="45" customFormat="1" ht="25.9" customHeight="1" x14ac:dyDescent="0.2">
      <c r="A42" s="67"/>
      <c r="B42" s="67"/>
      <c r="C42" s="46" t="s">
        <v>286</v>
      </c>
      <c r="D42" s="47">
        <f>SUBTOTAL(109,Table1324587910111213141516171819202122232624[Pajamos 
(GBO)])</f>
        <v>381219.69000000012</v>
      </c>
      <c r="E42" s="47" t="s">
        <v>313</v>
      </c>
      <c r="F42" s="42">
        <f t="shared" ref="F42" si="3">(D42-E42)/E42</f>
        <v>0.28510404692477581</v>
      </c>
      <c r="G42" s="43">
        <f>SUBTOTAL(109,Table1324587910111213141516171819202122232624[Žiūrovų sk. 
(ADM)])</f>
        <v>59481</v>
      </c>
      <c r="H42" s="51"/>
      <c r="I42" s="51"/>
      <c r="J42" s="51"/>
      <c r="K42" s="46"/>
      <c r="L42" s="53"/>
      <c r="M42" s="55"/>
      <c r="N42" s="60"/>
      <c r="O42" s="80"/>
    </row>
    <row r="43" spans="1:16" ht="11.25" hidden="1" x14ac:dyDescent="0.15">
      <c r="A43" s="38"/>
      <c r="B43" s="38"/>
      <c r="K43" s="1"/>
    </row>
    <row r="44" spans="1:16" ht="11.25" hidden="1" x14ac:dyDescent="0.15">
      <c r="A44" s="38"/>
      <c r="B44" s="38"/>
      <c r="K44" s="1"/>
    </row>
    <row r="45" spans="1:16" ht="11.25" hidden="1" x14ac:dyDescent="0.15">
      <c r="A45" s="38"/>
      <c r="B45" s="38"/>
      <c r="K45" s="1"/>
    </row>
    <row r="46" spans="1:16" ht="11.25" hidden="1" x14ac:dyDescent="0.15">
      <c r="A46" s="38"/>
      <c r="B46" s="38"/>
      <c r="K46" s="1"/>
    </row>
    <row r="47" spans="1:16" ht="11.25" hidden="1" x14ac:dyDescent="0.15">
      <c r="A47" s="38"/>
      <c r="B47" s="38"/>
      <c r="K47" s="1"/>
    </row>
    <row r="48" spans="1:16" ht="11.25" hidden="1" x14ac:dyDescent="0.15">
      <c r="A48" s="38"/>
      <c r="B48" s="38"/>
      <c r="K48" s="1"/>
    </row>
    <row r="49" spans="1:16383" s="37" customFormat="1" ht="11.25" hidden="1" x14ac:dyDescent="0.15">
      <c r="A49" s="38"/>
      <c r="B49" s="38"/>
      <c r="C49" s="1"/>
      <c r="F49" s="58"/>
      <c r="G49" s="56"/>
      <c r="H49" s="38"/>
      <c r="I49" s="38"/>
      <c r="J49" s="38"/>
      <c r="K49" s="1"/>
      <c r="M49" s="56"/>
      <c r="N49" s="39"/>
      <c r="O49" s="8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  <row r="50" spans="1:16383" s="37" customFormat="1" ht="11.25" hidden="1" x14ac:dyDescent="0.15">
      <c r="A50" s="38"/>
      <c r="B50" s="38"/>
      <c r="C50" s="1"/>
      <c r="F50" s="58"/>
      <c r="G50" s="56"/>
      <c r="H50" s="38"/>
      <c r="I50" s="38"/>
      <c r="J50" s="38"/>
      <c r="K50" s="1"/>
      <c r="M50" s="56"/>
      <c r="N50" s="39"/>
      <c r="O50" s="8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</row>
    <row r="51" spans="1:16383" s="37" customFormat="1" ht="11.25" hidden="1" x14ac:dyDescent="0.15">
      <c r="A51" s="38"/>
      <c r="B51" s="38"/>
      <c r="C51" s="1"/>
      <c r="F51" s="58"/>
      <c r="G51" s="56"/>
      <c r="H51" s="38"/>
      <c r="I51" s="38"/>
      <c r="J51" s="38"/>
      <c r="K51" s="1"/>
      <c r="M51" s="56"/>
      <c r="N51" s="39"/>
      <c r="O51" s="8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  <c r="XFC51" s="1"/>
    </row>
    <row r="52" spans="1:16383" s="37" customFormat="1" ht="11.25" hidden="1" x14ac:dyDescent="0.15">
      <c r="A52" s="38"/>
      <c r="B52" s="38"/>
      <c r="C52" s="1"/>
      <c r="F52" s="58"/>
      <c r="G52" s="56"/>
      <c r="H52" s="38"/>
      <c r="I52" s="38"/>
      <c r="J52" s="38"/>
      <c r="K52" s="1"/>
      <c r="M52" s="56"/>
      <c r="N52" s="39"/>
      <c r="O52" s="8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  <c r="XFB52" s="1"/>
      <c r="XFC52" s="1"/>
    </row>
    <row r="53" spans="1:16383" s="37" customFormat="1" ht="11.25" hidden="1" x14ac:dyDescent="0.15">
      <c r="A53" s="38"/>
      <c r="B53" s="38"/>
      <c r="C53" s="1"/>
      <c r="F53" s="58"/>
      <c r="G53" s="56"/>
      <c r="H53" s="38"/>
      <c r="I53" s="38"/>
      <c r="J53" s="38"/>
      <c r="K53" s="1"/>
      <c r="M53" s="56"/>
      <c r="N53" s="39"/>
      <c r="O53" s="8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  <c r="XFB53" s="1"/>
      <c r="XFC53" s="1"/>
    </row>
    <row r="54" spans="1:16383" s="37" customFormat="1" ht="11.25" hidden="1" x14ac:dyDescent="0.15">
      <c r="A54" s="38"/>
      <c r="B54" s="38"/>
      <c r="C54" s="1"/>
      <c r="F54" s="58"/>
      <c r="G54" s="56"/>
      <c r="H54" s="38"/>
      <c r="I54" s="38"/>
      <c r="J54" s="38"/>
      <c r="K54" s="1"/>
      <c r="M54" s="56"/>
      <c r="N54" s="39"/>
      <c r="O54" s="8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  <c r="XFA54" s="1"/>
      <c r="XFB54" s="1"/>
      <c r="XFC54" s="1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6B7F2-6F67-4F4B-81C3-3DEDBB161751}">
  <dimension ref="A1:XFC52"/>
  <sheetViews>
    <sheetView zoomScale="60" zoomScaleNormal="60" workbookViewId="0">
      <selection activeCell="C29" sqref="C29:O29"/>
    </sheetView>
  </sheetViews>
  <sheetFormatPr defaultColWidth="0" defaultRowHeight="0" customHeight="1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81" customWidth="1"/>
    <col min="16" max="16" width="31.85546875" style="1" hidden="1" customWidth="1"/>
    <col min="17" max="16384" width="5.42578125" style="1" hidden="1"/>
  </cols>
  <sheetData>
    <row r="1" spans="1:18" s="4" customFormat="1" ht="40.5" customHeight="1" thickBot="1" x14ac:dyDescent="0.25">
      <c r="A1" s="87" t="s">
        <v>300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50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22">
        <v>1</v>
      </c>
      <c r="B3" s="22" t="s">
        <v>31</v>
      </c>
      <c r="C3" s="18" t="s">
        <v>296</v>
      </c>
      <c r="D3" s="19">
        <v>53266.559999999998</v>
      </c>
      <c r="E3" s="20" t="s">
        <v>18</v>
      </c>
      <c r="F3" s="20" t="s">
        <v>18</v>
      </c>
      <c r="G3" s="21">
        <v>8345</v>
      </c>
      <c r="H3" s="22">
        <v>199</v>
      </c>
      <c r="I3" s="22">
        <f>G3/H3</f>
        <v>41.934673366834168</v>
      </c>
      <c r="J3" s="22">
        <v>26</v>
      </c>
      <c r="K3" s="22">
        <v>1</v>
      </c>
      <c r="L3" s="19">
        <v>62702.05</v>
      </c>
      <c r="M3" s="21">
        <v>9596</v>
      </c>
      <c r="N3" s="23">
        <v>45191</v>
      </c>
      <c r="O3" s="30" t="s">
        <v>68</v>
      </c>
    </row>
    <row r="4" spans="1:18" s="24" customFormat="1" ht="25.9" customHeight="1" x14ac:dyDescent="0.2">
      <c r="A4" s="22">
        <v>2</v>
      </c>
      <c r="B4" s="22">
        <v>1</v>
      </c>
      <c r="C4" s="18" t="s">
        <v>283</v>
      </c>
      <c r="D4" s="19">
        <v>43713.39</v>
      </c>
      <c r="E4" s="19">
        <v>56763.99</v>
      </c>
      <c r="F4" s="20">
        <f>(D4-E4)/E4</f>
        <v>-0.22990984248993065</v>
      </c>
      <c r="G4" s="21">
        <v>6010</v>
      </c>
      <c r="H4" s="22">
        <v>162</v>
      </c>
      <c r="I4" s="22">
        <f>G4/H4</f>
        <v>37.098765432098766</v>
      </c>
      <c r="J4" s="22">
        <v>10</v>
      </c>
      <c r="K4" s="22">
        <v>3</v>
      </c>
      <c r="L4" s="19">
        <v>188204.43</v>
      </c>
      <c r="M4" s="21">
        <v>25279</v>
      </c>
      <c r="N4" s="23">
        <v>45177</v>
      </c>
      <c r="O4" s="30" t="s">
        <v>14</v>
      </c>
    </row>
    <row r="5" spans="1:18" s="24" customFormat="1" ht="25.9" customHeight="1" x14ac:dyDescent="0.2">
      <c r="A5" s="22">
        <v>3</v>
      </c>
      <c r="B5" s="22">
        <v>3</v>
      </c>
      <c r="C5" s="18" t="s">
        <v>291</v>
      </c>
      <c r="D5" s="74">
        <v>33094.239999999998</v>
      </c>
      <c r="E5" s="19">
        <v>34165.519999999997</v>
      </c>
      <c r="F5" s="20">
        <f>(D5-E5)/E5</f>
        <v>-3.1355588909520442E-2</v>
      </c>
      <c r="G5" s="73">
        <v>6477</v>
      </c>
      <c r="H5" s="22">
        <v>239</v>
      </c>
      <c r="I5" s="22">
        <f>G5/H5</f>
        <v>27.10041841004184</v>
      </c>
      <c r="J5" s="22">
        <v>15</v>
      </c>
      <c r="K5" s="75">
        <v>2</v>
      </c>
      <c r="L5" s="74">
        <v>73031.759999999995</v>
      </c>
      <c r="M5" s="73">
        <v>14163</v>
      </c>
      <c r="N5" s="23">
        <v>45184</v>
      </c>
      <c r="O5" s="30" t="s">
        <v>13</v>
      </c>
      <c r="R5" s="17"/>
    </row>
    <row r="6" spans="1:18" s="24" customFormat="1" ht="25.9" customHeight="1" x14ac:dyDescent="0.2">
      <c r="A6" s="22">
        <v>4</v>
      </c>
      <c r="B6" s="22" t="s">
        <v>31</v>
      </c>
      <c r="C6" s="18" t="s">
        <v>297</v>
      </c>
      <c r="D6" s="19">
        <v>29949.43</v>
      </c>
      <c r="E6" s="20" t="s">
        <v>18</v>
      </c>
      <c r="F6" s="20" t="s">
        <v>18</v>
      </c>
      <c r="G6" s="21">
        <v>4334</v>
      </c>
      <c r="H6" s="22">
        <v>221</v>
      </c>
      <c r="I6" s="22">
        <f>G6/H6</f>
        <v>19.610859728506789</v>
      </c>
      <c r="J6" s="22">
        <v>15</v>
      </c>
      <c r="K6" s="22">
        <v>1</v>
      </c>
      <c r="L6" s="19">
        <v>31252.63</v>
      </c>
      <c r="M6" s="21">
        <v>4487</v>
      </c>
      <c r="N6" s="23">
        <v>45191</v>
      </c>
      <c r="O6" s="30" t="s">
        <v>64</v>
      </c>
      <c r="R6" s="17"/>
    </row>
    <row r="7" spans="1:18" s="24" customFormat="1" ht="25.5" customHeight="1" x14ac:dyDescent="0.2">
      <c r="A7" s="22">
        <v>5</v>
      </c>
      <c r="B7" s="22">
        <v>2</v>
      </c>
      <c r="C7" s="18" t="s">
        <v>290</v>
      </c>
      <c r="D7" s="19">
        <v>21660</v>
      </c>
      <c r="E7" s="19">
        <v>41265</v>
      </c>
      <c r="F7" s="20">
        <f>(D7-E7)/E7</f>
        <v>-0.47509996364958196</v>
      </c>
      <c r="G7" s="21">
        <v>3649</v>
      </c>
      <c r="H7" s="22" t="s">
        <v>18</v>
      </c>
      <c r="I7" s="20" t="s">
        <v>18</v>
      </c>
      <c r="J7" s="22">
        <v>17</v>
      </c>
      <c r="K7" s="22">
        <v>2</v>
      </c>
      <c r="L7" s="19">
        <v>76145</v>
      </c>
      <c r="M7" s="21">
        <v>11103</v>
      </c>
      <c r="N7" s="23">
        <v>45184</v>
      </c>
      <c r="O7" s="30" t="s">
        <v>15</v>
      </c>
      <c r="R7" s="17"/>
    </row>
    <row r="8" spans="1:18" s="24" customFormat="1" ht="25.9" customHeight="1" x14ac:dyDescent="0.2">
      <c r="A8" s="22">
        <v>6</v>
      </c>
      <c r="B8" s="22">
        <v>4</v>
      </c>
      <c r="C8" s="18" t="s">
        <v>292</v>
      </c>
      <c r="D8" s="19">
        <v>18415.32</v>
      </c>
      <c r="E8" s="19">
        <v>27973.71</v>
      </c>
      <c r="F8" s="20">
        <f>(D8-E8)/E8</f>
        <v>-0.34169189571208108</v>
      </c>
      <c r="G8" s="21">
        <v>3035</v>
      </c>
      <c r="H8" s="22">
        <v>137</v>
      </c>
      <c r="I8" s="22">
        <f>G8/H8</f>
        <v>22.153284671532848</v>
      </c>
      <c r="J8" s="22">
        <v>13</v>
      </c>
      <c r="K8" s="22">
        <v>2</v>
      </c>
      <c r="L8" s="19">
        <v>46969.68</v>
      </c>
      <c r="M8" s="21">
        <v>7122</v>
      </c>
      <c r="N8" s="23">
        <v>45184</v>
      </c>
      <c r="O8" s="30" t="s">
        <v>40</v>
      </c>
      <c r="R8" s="17"/>
    </row>
    <row r="9" spans="1:18" s="24" customFormat="1" ht="25.9" customHeight="1" x14ac:dyDescent="0.2">
      <c r="A9" s="22">
        <v>7</v>
      </c>
      <c r="B9" s="22">
        <v>5</v>
      </c>
      <c r="C9" s="18" t="s">
        <v>222</v>
      </c>
      <c r="D9" s="19">
        <v>15831.96</v>
      </c>
      <c r="E9" s="19">
        <v>17297.05</v>
      </c>
      <c r="F9" s="20">
        <f>(D9-E9)/E9</f>
        <v>-8.4701726594997431E-2</v>
      </c>
      <c r="G9" s="21">
        <v>2417</v>
      </c>
      <c r="H9" s="22">
        <v>68</v>
      </c>
      <c r="I9" s="22">
        <f>G9/H9</f>
        <v>35.544117647058826</v>
      </c>
      <c r="J9" s="22">
        <v>10</v>
      </c>
      <c r="K9" s="22">
        <v>10</v>
      </c>
      <c r="L9" s="19">
        <v>1048419.91</v>
      </c>
      <c r="M9" s="21">
        <v>147319</v>
      </c>
      <c r="N9" s="23">
        <v>45128</v>
      </c>
      <c r="O9" s="30" t="s">
        <v>179</v>
      </c>
      <c r="R9" s="17"/>
    </row>
    <row r="10" spans="1:18" s="24" customFormat="1" ht="25.5" customHeight="1" x14ac:dyDescent="0.2">
      <c r="A10" s="22">
        <v>8</v>
      </c>
      <c r="B10" s="22" t="s">
        <v>31</v>
      </c>
      <c r="C10" s="7" t="s">
        <v>302</v>
      </c>
      <c r="D10" s="8">
        <v>15796</v>
      </c>
      <c r="E10" s="19" t="s">
        <v>18</v>
      </c>
      <c r="F10" s="20" t="s">
        <v>18</v>
      </c>
      <c r="G10" s="10">
        <v>3125</v>
      </c>
      <c r="H10" s="11" t="s">
        <v>18</v>
      </c>
      <c r="I10" s="11" t="s">
        <v>18</v>
      </c>
      <c r="J10" s="11">
        <v>15</v>
      </c>
      <c r="K10" s="11">
        <v>1</v>
      </c>
      <c r="L10" s="19">
        <v>15796</v>
      </c>
      <c r="M10" s="21">
        <v>3125</v>
      </c>
      <c r="N10" s="12">
        <v>45191</v>
      </c>
      <c r="O10" s="31" t="s">
        <v>15</v>
      </c>
      <c r="R10" s="17"/>
    </row>
    <row r="11" spans="1:18" s="24" customFormat="1" ht="25.9" customHeight="1" x14ac:dyDescent="0.2">
      <c r="A11" s="22">
        <v>9</v>
      </c>
      <c r="B11" s="22">
        <v>6</v>
      </c>
      <c r="C11" s="18" t="s">
        <v>239</v>
      </c>
      <c r="D11" s="19">
        <v>10811.23</v>
      </c>
      <c r="E11" s="19">
        <v>12845.83</v>
      </c>
      <c r="F11" s="20">
        <f>(D11-E11)/E11</f>
        <v>-0.15838602877353977</v>
      </c>
      <c r="G11" s="21">
        <v>1859</v>
      </c>
      <c r="H11" s="22">
        <v>50</v>
      </c>
      <c r="I11" s="22">
        <f t="shared" ref="I11:I16" si="0">G11/H11</f>
        <v>37.18</v>
      </c>
      <c r="J11" s="22">
        <v>5</v>
      </c>
      <c r="K11" s="22">
        <v>7</v>
      </c>
      <c r="L11" s="19">
        <v>221055.92</v>
      </c>
      <c r="M11" s="21">
        <v>35161</v>
      </c>
      <c r="N11" s="23">
        <v>45149</v>
      </c>
      <c r="O11" s="30" t="s">
        <v>12</v>
      </c>
      <c r="R11" s="17"/>
    </row>
    <row r="12" spans="1:18" s="24" customFormat="1" ht="25.9" customHeight="1" x14ac:dyDescent="0.2">
      <c r="A12" s="22">
        <v>10</v>
      </c>
      <c r="B12" s="22">
        <v>7</v>
      </c>
      <c r="C12" s="18" t="s">
        <v>274</v>
      </c>
      <c r="D12" s="19">
        <v>9876.91</v>
      </c>
      <c r="E12" s="19">
        <v>11314.69</v>
      </c>
      <c r="F12" s="20">
        <f>(D12-E12)/E12</f>
        <v>-0.12707197457464595</v>
      </c>
      <c r="G12" s="21">
        <v>1918</v>
      </c>
      <c r="H12" s="22">
        <v>106</v>
      </c>
      <c r="I12" s="22">
        <f t="shared" si="0"/>
        <v>18.09433962264151</v>
      </c>
      <c r="J12" s="22">
        <v>13</v>
      </c>
      <c r="K12" s="22">
        <v>5</v>
      </c>
      <c r="L12" s="19">
        <v>107120.91</v>
      </c>
      <c r="M12" s="21">
        <v>21670</v>
      </c>
      <c r="N12" s="23">
        <v>45163</v>
      </c>
      <c r="O12" s="30" t="s">
        <v>16</v>
      </c>
      <c r="R12" s="17"/>
    </row>
    <row r="13" spans="1:18" s="27" customFormat="1" ht="25.5" customHeight="1" x14ac:dyDescent="0.15">
      <c r="A13" s="22">
        <v>11</v>
      </c>
      <c r="B13" s="22" t="s">
        <v>31</v>
      </c>
      <c r="C13" s="18" t="s">
        <v>306</v>
      </c>
      <c r="D13" s="19">
        <v>8825.4</v>
      </c>
      <c r="E13" s="19" t="s">
        <v>18</v>
      </c>
      <c r="F13" s="20" t="s">
        <v>18</v>
      </c>
      <c r="G13" s="21">
        <v>1490</v>
      </c>
      <c r="H13" s="22">
        <v>105</v>
      </c>
      <c r="I13" s="22">
        <f t="shared" si="0"/>
        <v>14.19047619047619</v>
      </c>
      <c r="J13" s="22">
        <v>12</v>
      </c>
      <c r="K13" s="22">
        <v>1</v>
      </c>
      <c r="L13" s="19">
        <v>8825.4</v>
      </c>
      <c r="M13" s="21">
        <v>1490</v>
      </c>
      <c r="N13" s="23">
        <v>45191</v>
      </c>
      <c r="O13" s="30" t="s">
        <v>64</v>
      </c>
    </row>
    <row r="14" spans="1:18" s="27" customFormat="1" ht="25.9" customHeight="1" x14ac:dyDescent="0.15">
      <c r="A14" s="22">
        <v>12</v>
      </c>
      <c r="B14" s="22">
        <v>8</v>
      </c>
      <c r="C14" s="18" t="s">
        <v>271</v>
      </c>
      <c r="D14" s="19">
        <v>6464.11</v>
      </c>
      <c r="E14" s="19">
        <v>11122.05</v>
      </c>
      <c r="F14" s="20">
        <f>(D14-E14)/E14</f>
        <v>-0.41880228914633544</v>
      </c>
      <c r="G14" s="21">
        <v>966</v>
      </c>
      <c r="H14" s="22">
        <v>36</v>
      </c>
      <c r="I14" s="22">
        <f t="shared" si="0"/>
        <v>26.833333333333332</v>
      </c>
      <c r="J14" s="22">
        <v>5</v>
      </c>
      <c r="K14" s="22">
        <v>4</v>
      </c>
      <c r="L14" s="19">
        <v>68654.44</v>
      </c>
      <c r="M14" s="21">
        <v>9804</v>
      </c>
      <c r="N14" s="23">
        <v>45170</v>
      </c>
      <c r="O14" s="30" t="s">
        <v>12</v>
      </c>
    </row>
    <row r="15" spans="1:18" s="27" customFormat="1" ht="25.9" customHeight="1" x14ac:dyDescent="0.2">
      <c r="A15" s="22">
        <v>13</v>
      </c>
      <c r="B15" s="22">
        <v>9</v>
      </c>
      <c r="C15" s="18" t="s">
        <v>213</v>
      </c>
      <c r="D15" s="19">
        <v>5656.2</v>
      </c>
      <c r="E15" s="19">
        <v>10357.129999999999</v>
      </c>
      <c r="F15" s="20">
        <f>(D15-E15)/E15</f>
        <v>-0.45388345999326063</v>
      </c>
      <c r="G15" s="21">
        <v>881</v>
      </c>
      <c r="H15" s="22">
        <v>34</v>
      </c>
      <c r="I15" s="22">
        <f t="shared" si="0"/>
        <v>25.911764705882351</v>
      </c>
      <c r="J15" s="22">
        <v>5</v>
      </c>
      <c r="K15" s="22">
        <v>10</v>
      </c>
      <c r="L15" s="19">
        <v>1152576.1100000001</v>
      </c>
      <c r="M15" s="21">
        <v>175341</v>
      </c>
      <c r="N15" s="23">
        <v>45128</v>
      </c>
      <c r="O15" s="30" t="s">
        <v>14</v>
      </c>
      <c r="P15" s="77"/>
    </row>
    <row r="16" spans="1:18" s="27" customFormat="1" ht="25.9" customHeight="1" x14ac:dyDescent="0.2">
      <c r="A16" s="22">
        <v>14</v>
      </c>
      <c r="B16" s="22">
        <v>11</v>
      </c>
      <c r="C16" s="18" t="s">
        <v>181</v>
      </c>
      <c r="D16" s="19">
        <v>4469.68</v>
      </c>
      <c r="E16" s="19">
        <v>4218.66</v>
      </c>
      <c r="F16" s="20">
        <f>(D16-E16)/E16</f>
        <v>5.9502306419574096E-2</v>
      </c>
      <c r="G16" s="21">
        <v>836</v>
      </c>
      <c r="H16" s="22">
        <v>35</v>
      </c>
      <c r="I16" s="22">
        <f t="shared" si="0"/>
        <v>23.885714285714286</v>
      </c>
      <c r="J16" s="22">
        <v>6</v>
      </c>
      <c r="K16" s="22">
        <v>15</v>
      </c>
      <c r="L16" s="19">
        <v>497592.9</v>
      </c>
      <c r="M16" s="21">
        <v>98217</v>
      </c>
      <c r="N16" s="23">
        <v>45093</v>
      </c>
      <c r="O16" s="30" t="s">
        <v>40</v>
      </c>
      <c r="P16" s="77"/>
    </row>
    <row r="17" spans="1:16" s="27" customFormat="1" ht="25.9" customHeight="1" x14ac:dyDescent="0.2">
      <c r="A17" s="22">
        <v>15</v>
      </c>
      <c r="B17" s="22" t="s">
        <v>57</v>
      </c>
      <c r="C17" s="7" t="s">
        <v>309</v>
      </c>
      <c r="D17" s="8">
        <v>3280.7</v>
      </c>
      <c r="E17" s="19" t="s">
        <v>18</v>
      </c>
      <c r="F17" s="20" t="s">
        <v>18</v>
      </c>
      <c r="G17" s="10">
        <v>560</v>
      </c>
      <c r="H17" s="22" t="s">
        <v>18</v>
      </c>
      <c r="I17" s="22" t="s">
        <v>18</v>
      </c>
      <c r="J17" s="11">
        <v>7</v>
      </c>
      <c r="K17" s="11">
        <v>0</v>
      </c>
      <c r="L17" s="19">
        <v>3280.7</v>
      </c>
      <c r="M17" s="21">
        <v>560</v>
      </c>
      <c r="N17" s="12" t="s">
        <v>311</v>
      </c>
      <c r="O17" s="31" t="s">
        <v>310</v>
      </c>
      <c r="P17" s="77"/>
    </row>
    <row r="18" spans="1:16" s="27" customFormat="1" ht="25.9" customHeight="1" x14ac:dyDescent="0.2">
      <c r="A18" s="22">
        <v>16</v>
      </c>
      <c r="B18" s="22" t="s">
        <v>31</v>
      </c>
      <c r="C18" s="18" t="s">
        <v>308</v>
      </c>
      <c r="D18" s="19">
        <v>2577.21</v>
      </c>
      <c r="E18" s="19" t="s">
        <v>18</v>
      </c>
      <c r="F18" s="20" t="s">
        <v>18</v>
      </c>
      <c r="G18" s="21">
        <v>579</v>
      </c>
      <c r="H18" s="22">
        <v>31</v>
      </c>
      <c r="I18" s="22">
        <f>G18/H18</f>
        <v>18.677419354838708</v>
      </c>
      <c r="J18" s="22">
        <v>10</v>
      </c>
      <c r="K18" s="22">
        <v>1</v>
      </c>
      <c r="L18" s="19">
        <v>2577.21</v>
      </c>
      <c r="M18" s="21">
        <v>579</v>
      </c>
      <c r="N18" s="23">
        <v>45191</v>
      </c>
      <c r="O18" s="30" t="s">
        <v>30</v>
      </c>
      <c r="P18" s="77"/>
    </row>
    <row r="19" spans="1:16" s="27" customFormat="1" ht="25.5" customHeight="1" x14ac:dyDescent="0.2">
      <c r="A19" s="22">
        <v>17</v>
      </c>
      <c r="B19" s="22">
        <v>12</v>
      </c>
      <c r="C19" s="18" t="s">
        <v>280</v>
      </c>
      <c r="D19" s="19">
        <v>2335</v>
      </c>
      <c r="E19" s="19">
        <v>3694</v>
      </c>
      <c r="F19" s="20">
        <f t="shared" ref="F19:F24" si="1">(D19-E19)/E19</f>
        <v>-0.36789388197076339</v>
      </c>
      <c r="G19" s="21">
        <v>465</v>
      </c>
      <c r="H19" s="22"/>
      <c r="I19" s="22" t="s">
        <v>18</v>
      </c>
      <c r="J19" s="22">
        <v>4</v>
      </c>
      <c r="K19" s="22">
        <v>4</v>
      </c>
      <c r="L19" s="19">
        <v>39333</v>
      </c>
      <c r="M19" s="21">
        <v>8140</v>
      </c>
      <c r="N19" s="23">
        <v>45170</v>
      </c>
      <c r="O19" s="30" t="s">
        <v>15</v>
      </c>
      <c r="P19" s="77"/>
    </row>
    <row r="20" spans="1:16" s="27" customFormat="1" ht="25.9" customHeight="1" x14ac:dyDescent="0.2">
      <c r="A20" s="22">
        <v>18</v>
      </c>
      <c r="B20" s="22">
        <v>13</v>
      </c>
      <c r="C20" s="18" t="s">
        <v>272</v>
      </c>
      <c r="D20" s="19">
        <v>2081</v>
      </c>
      <c r="E20" s="19">
        <v>2798</v>
      </c>
      <c r="F20" s="20">
        <f t="shared" si="1"/>
        <v>-0.25625446747676911</v>
      </c>
      <c r="G20" s="21">
        <v>309</v>
      </c>
      <c r="H20" s="22" t="s">
        <v>18</v>
      </c>
      <c r="I20" s="22" t="s">
        <v>18</v>
      </c>
      <c r="J20" s="22">
        <v>3</v>
      </c>
      <c r="K20" s="22">
        <v>5</v>
      </c>
      <c r="L20" s="19">
        <v>67603</v>
      </c>
      <c r="M20" s="21">
        <v>10547</v>
      </c>
      <c r="N20" s="23">
        <v>45132</v>
      </c>
      <c r="O20" s="30" t="s">
        <v>15</v>
      </c>
      <c r="P20" s="77"/>
    </row>
    <row r="21" spans="1:16" s="27" customFormat="1" ht="25.5" customHeight="1" x14ac:dyDescent="0.2">
      <c r="A21" s="22">
        <v>19</v>
      </c>
      <c r="B21" s="22">
        <v>14</v>
      </c>
      <c r="C21" s="18" t="s">
        <v>264</v>
      </c>
      <c r="D21" s="19">
        <v>1074.5</v>
      </c>
      <c r="E21" s="19">
        <v>2303.1799999999998</v>
      </c>
      <c r="F21" s="20">
        <f t="shared" si="1"/>
        <v>-0.53347111385128387</v>
      </c>
      <c r="G21" s="21">
        <v>230</v>
      </c>
      <c r="H21" s="22">
        <v>12</v>
      </c>
      <c r="I21" s="22">
        <f>G21/H21</f>
        <v>19.166666666666668</v>
      </c>
      <c r="J21" s="22">
        <v>6</v>
      </c>
      <c r="K21" s="22">
        <v>6</v>
      </c>
      <c r="L21" s="19">
        <v>39495.089999999997</v>
      </c>
      <c r="M21" s="21">
        <v>6849</v>
      </c>
      <c r="N21" s="23">
        <v>45156</v>
      </c>
      <c r="O21" s="30" t="s">
        <v>64</v>
      </c>
      <c r="P21" s="77"/>
    </row>
    <row r="22" spans="1:16" s="27" customFormat="1" ht="25.5" customHeight="1" x14ac:dyDescent="0.2">
      <c r="A22" s="22">
        <v>20</v>
      </c>
      <c r="B22" s="22">
        <v>15</v>
      </c>
      <c r="C22" s="18" t="s">
        <v>289</v>
      </c>
      <c r="D22" s="74">
        <v>980</v>
      </c>
      <c r="E22" s="19">
        <v>2120</v>
      </c>
      <c r="F22" s="20">
        <f t="shared" si="1"/>
        <v>-0.53773584905660377</v>
      </c>
      <c r="G22" s="73">
        <v>176</v>
      </c>
      <c r="H22" s="22" t="s">
        <v>18</v>
      </c>
      <c r="I22" s="20" t="s">
        <v>18</v>
      </c>
      <c r="J22" s="22">
        <v>5</v>
      </c>
      <c r="K22" s="75">
        <v>3</v>
      </c>
      <c r="L22" s="74">
        <v>8483</v>
      </c>
      <c r="M22" s="73">
        <v>1532</v>
      </c>
      <c r="N22" s="23">
        <v>45177</v>
      </c>
      <c r="O22" s="30" t="s">
        <v>15</v>
      </c>
      <c r="P22" s="77"/>
    </row>
    <row r="23" spans="1:16" s="27" customFormat="1" ht="25.9" customHeight="1" x14ac:dyDescent="0.2">
      <c r="A23" s="22">
        <v>21</v>
      </c>
      <c r="B23" s="22">
        <v>23</v>
      </c>
      <c r="C23" s="18" t="s">
        <v>174</v>
      </c>
      <c r="D23" s="19">
        <v>950</v>
      </c>
      <c r="E23" s="19">
        <v>325.8</v>
      </c>
      <c r="F23" s="20">
        <f t="shared" si="1"/>
        <v>1.9158993247391038</v>
      </c>
      <c r="G23" s="21">
        <v>190</v>
      </c>
      <c r="H23" s="22">
        <v>1</v>
      </c>
      <c r="I23" s="22">
        <f>G23/H23</f>
        <v>190</v>
      </c>
      <c r="J23" s="22">
        <v>1</v>
      </c>
      <c r="K23" s="22" t="s">
        <v>18</v>
      </c>
      <c r="L23" s="19">
        <v>59047.18</v>
      </c>
      <c r="M23" s="21">
        <v>9577</v>
      </c>
      <c r="N23" s="23">
        <v>45086</v>
      </c>
      <c r="O23" s="30" t="s">
        <v>179</v>
      </c>
      <c r="P23" s="77"/>
    </row>
    <row r="24" spans="1:16" s="27" customFormat="1" ht="25.9" customHeight="1" x14ac:dyDescent="0.2">
      <c r="A24" s="22">
        <v>22</v>
      </c>
      <c r="B24" s="22">
        <v>17</v>
      </c>
      <c r="C24" s="18" t="s">
        <v>281</v>
      </c>
      <c r="D24" s="19">
        <v>916</v>
      </c>
      <c r="E24" s="19">
        <v>1784</v>
      </c>
      <c r="F24" s="20">
        <f t="shared" si="1"/>
        <v>-0.48654708520179374</v>
      </c>
      <c r="G24" s="21">
        <v>129</v>
      </c>
      <c r="H24" s="22" t="s">
        <v>18</v>
      </c>
      <c r="I24" s="22" t="s">
        <v>18</v>
      </c>
      <c r="J24" s="22">
        <v>3</v>
      </c>
      <c r="K24" s="22">
        <v>4</v>
      </c>
      <c r="L24" s="19">
        <v>22993</v>
      </c>
      <c r="M24" s="21">
        <v>3445</v>
      </c>
      <c r="N24" s="23">
        <v>45170</v>
      </c>
      <c r="O24" s="30" t="s">
        <v>15</v>
      </c>
      <c r="P24" s="77"/>
    </row>
    <row r="25" spans="1:16" s="27" customFormat="1" ht="25.5" customHeight="1" x14ac:dyDescent="0.2">
      <c r="A25" s="22">
        <v>23</v>
      </c>
      <c r="B25" s="22" t="s">
        <v>57</v>
      </c>
      <c r="C25" s="7" t="s">
        <v>304</v>
      </c>
      <c r="D25" s="8">
        <v>822.9</v>
      </c>
      <c r="E25" s="19" t="s">
        <v>18</v>
      </c>
      <c r="F25" s="20" t="s">
        <v>18</v>
      </c>
      <c r="G25" s="10">
        <v>143</v>
      </c>
      <c r="H25" s="11">
        <v>2</v>
      </c>
      <c r="I25" s="11">
        <f>G25/H25</f>
        <v>71.5</v>
      </c>
      <c r="J25" s="11">
        <v>2</v>
      </c>
      <c r="K25" s="11">
        <v>0</v>
      </c>
      <c r="L25" s="19">
        <v>822.9</v>
      </c>
      <c r="M25" s="21">
        <v>143</v>
      </c>
      <c r="N25" s="12" t="s">
        <v>59</v>
      </c>
      <c r="O25" s="30" t="s">
        <v>16</v>
      </c>
      <c r="P25" s="77"/>
    </row>
    <row r="26" spans="1:16" s="27" customFormat="1" ht="25.5" customHeight="1" x14ac:dyDescent="0.2">
      <c r="A26" s="22">
        <v>24</v>
      </c>
      <c r="B26" s="22" t="s">
        <v>18</v>
      </c>
      <c r="C26" s="7" t="s">
        <v>307</v>
      </c>
      <c r="D26" s="8">
        <v>725</v>
      </c>
      <c r="E26" s="19" t="s">
        <v>18</v>
      </c>
      <c r="F26" s="20" t="s">
        <v>18</v>
      </c>
      <c r="G26" s="10">
        <v>145</v>
      </c>
      <c r="H26" s="11">
        <v>2</v>
      </c>
      <c r="I26" s="11">
        <f>G26/H26</f>
        <v>72.5</v>
      </c>
      <c r="J26" s="11">
        <v>2</v>
      </c>
      <c r="K26" s="20" t="s">
        <v>18</v>
      </c>
      <c r="L26" s="19">
        <v>18581.990000000002</v>
      </c>
      <c r="M26" s="21">
        <v>4250</v>
      </c>
      <c r="N26" s="12">
        <v>44512</v>
      </c>
      <c r="O26" s="30" t="s">
        <v>17</v>
      </c>
      <c r="P26" s="77"/>
    </row>
    <row r="27" spans="1:16" s="27" customFormat="1" ht="25.5" customHeight="1" x14ac:dyDescent="0.2">
      <c r="A27" s="22">
        <v>25</v>
      </c>
      <c r="B27" s="22">
        <v>16</v>
      </c>
      <c r="C27" s="18" t="s">
        <v>298</v>
      </c>
      <c r="D27" s="19">
        <v>628</v>
      </c>
      <c r="E27" s="19">
        <v>1878</v>
      </c>
      <c r="F27" s="20">
        <f>(D27-E27)/E27</f>
        <v>-0.66560170394036211</v>
      </c>
      <c r="G27" s="21">
        <v>94</v>
      </c>
      <c r="H27" s="22" t="s">
        <v>18</v>
      </c>
      <c r="I27" s="20" t="s">
        <v>18</v>
      </c>
      <c r="J27" s="22">
        <v>3</v>
      </c>
      <c r="K27" s="22">
        <v>2</v>
      </c>
      <c r="L27" s="19">
        <v>2506</v>
      </c>
      <c r="M27" s="21">
        <v>405</v>
      </c>
      <c r="N27" s="23">
        <v>45184</v>
      </c>
      <c r="O27" s="30" t="s">
        <v>299</v>
      </c>
      <c r="P27" s="77"/>
    </row>
    <row r="28" spans="1:16" s="27" customFormat="1" ht="25.5" customHeight="1" x14ac:dyDescent="0.2">
      <c r="A28" s="22">
        <v>26</v>
      </c>
      <c r="B28" s="22" t="s">
        <v>57</v>
      </c>
      <c r="C28" s="18" t="s">
        <v>305</v>
      </c>
      <c r="D28" s="19">
        <v>616</v>
      </c>
      <c r="E28" s="19" t="s">
        <v>18</v>
      </c>
      <c r="F28" s="20" t="s">
        <v>18</v>
      </c>
      <c r="G28" s="21">
        <v>154</v>
      </c>
      <c r="H28" s="22">
        <v>1</v>
      </c>
      <c r="I28" s="22">
        <f t="shared" ref="I28:I36" si="2">G28/H28</f>
        <v>154</v>
      </c>
      <c r="J28" s="22">
        <v>1</v>
      </c>
      <c r="K28" s="22">
        <v>0</v>
      </c>
      <c r="L28" s="19">
        <v>616</v>
      </c>
      <c r="M28" s="21">
        <v>154</v>
      </c>
      <c r="N28" s="23" t="s">
        <v>59</v>
      </c>
      <c r="O28" s="30" t="s">
        <v>13</v>
      </c>
      <c r="P28" s="77"/>
    </row>
    <row r="29" spans="1:16" s="27" customFormat="1" ht="25.5" customHeight="1" x14ac:dyDescent="0.2">
      <c r="A29" s="22">
        <v>27</v>
      </c>
      <c r="B29" s="22">
        <v>20</v>
      </c>
      <c r="C29" s="18" t="s">
        <v>235</v>
      </c>
      <c r="D29" s="19">
        <v>397.5999999999998</v>
      </c>
      <c r="E29" s="19">
        <v>523.4000000000002</v>
      </c>
      <c r="F29" s="20">
        <f>(D29-E29)/E29</f>
        <v>-0.2403515475735582</v>
      </c>
      <c r="G29" s="21">
        <v>63</v>
      </c>
      <c r="H29" s="22">
        <v>5</v>
      </c>
      <c r="I29" s="22">
        <f t="shared" si="2"/>
        <v>12.6</v>
      </c>
      <c r="J29" s="22">
        <v>3</v>
      </c>
      <c r="K29" s="20" t="s">
        <v>18</v>
      </c>
      <c r="L29" s="19">
        <v>7663.01</v>
      </c>
      <c r="M29" s="21">
        <v>1314</v>
      </c>
      <c r="N29" s="23">
        <v>45135</v>
      </c>
      <c r="O29" s="30" t="s">
        <v>117</v>
      </c>
      <c r="P29" s="77"/>
    </row>
    <row r="30" spans="1:16" s="27" customFormat="1" ht="25.5" customHeight="1" x14ac:dyDescent="0.2">
      <c r="A30" s="22">
        <v>28</v>
      </c>
      <c r="B30" s="22" t="s">
        <v>18</v>
      </c>
      <c r="C30" s="18" t="s">
        <v>43</v>
      </c>
      <c r="D30" s="19">
        <v>300</v>
      </c>
      <c r="E30" s="19" t="s">
        <v>18</v>
      </c>
      <c r="F30" s="20" t="s">
        <v>18</v>
      </c>
      <c r="G30" s="21">
        <v>60</v>
      </c>
      <c r="H30" s="22">
        <v>2</v>
      </c>
      <c r="I30" s="22">
        <f t="shared" si="2"/>
        <v>30</v>
      </c>
      <c r="J30" s="22">
        <v>2</v>
      </c>
      <c r="K30" s="20" t="s">
        <v>18</v>
      </c>
      <c r="L30" s="19">
        <v>130344.48</v>
      </c>
      <c r="M30" s="21">
        <v>20467</v>
      </c>
      <c r="N30" s="23">
        <v>44981</v>
      </c>
      <c r="O30" s="30" t="s">
        <v>17</v>
      </c>
      <c r="P30" s="77"/>
    </row>
    <row r="31" spans="1:16" s="27" customFormat="1" ht="25.5" customHeight="1" x14ac:dyDescent="0.2">
      <c r="A31" s="22">
        <v>29</v>
      </c>
      <c r="B31" s="22">
        <v>28</v>
      </c>
      <c r="C31" s="18" t="s">
        <v>146</v>
      </c>
      <c r="D31" s="19">
        <v>215.3</v>
      </c>
      <c r="E31" s="19">
        <v>142.30000000000001</v>
      </c>
      <c r="F31" s="20">
        <f>(D31-E31)/E31</f>
        <v>0.51300070274068865</v>
      </c>
      <c r="G31" s="21">
        <v>31</v>
      </c>
      <c r="H31" s="22">
        <v>2</v>
      </c>
      <c r="I31" s="22">
        <f t="shared" si="2"/>
        <v>15.5</v>
      </c>
      <c r="J31" s="22">
        <v>1</v>
      </c>
      <c r="K31" s="22">
        <v>17</v>
      </c>
      <c r="L31" s="19">
        <v>10500.800000000003</v>
      </c>
      <c r="M31" s="21">
        <v>1602</v>
      </c>
      <c r="N31" s="23">
        <v>45079</v>
      </c>
      <c r="O31" s="30" t="s">
        <v>16</v>
      </c>
      <c r="P31" s="77"/>
    </row>
    <row r="32" spans="1:16" s="27" customFormat="1" ht="25.5" customHeight="1" x14ac:dyDescent="0.2">
      <c r="A32" s="22">
        <v>30</v>
      </c>
      <c r="B32" s="20" t="s">
        <v>18</v>
      </c>
      <c r="C32" s="18" t="s">
        <v>136</v>
      </c>
      <c r="D32" s="19">
        <v>207</v>
      </c>
      <c r="E32" s="19" t="s">
        <v>18</v>
      </c>
      <c r="F32" s="20" t="s">
        <v>18</v>
      </c>
      <c r="G32" s="21">
        <v>43</v>
      </c>
      <c r="H32" s="22">
        <v>1</v>
      </c>
      <c r="I32" s="22">
        <f t="shared" si="2"/>
        <v>43</v>
      </c>
      <c r="J32" s="22">
        <v>1</v>
      </c>
      <c r="K32" s="22" t="s">
        <v>18</v>
      </c>
      <c r="L32" s="19">
        <v>1750.03</v>
      </c>
      <c r="M32" s="21">
        <v>405</v>
      </c>
      <c r="N32" s="23">
        <v>45065</v>
      </c>
      <c r="O32" s="30" t="s">
        <v>68</v>
      </c>
      <c r="P32" s="77"/>
    </row>
    <row r="33" spans="1:16383" s="27" customFormat="1" ht="25.5" customHeight="1" x14ac:dyDescent="0.2">
      <c r="A33" s="22">
        <v>31</v>
      </c>
      <c r="B33" s="22">
        <v>19</v>
      </c>
      <c r="C33" s="18" t="s">
        <v>261</v>
      </c>
      <c r="D33" s="19">
        <v>201.9</v>
      </c>
      <c r="E33" s="19">
        <v>632</v>
      </c>
      <c r="F33" s="20">
        <f>(D33-E33)/E33</f>
        <v>-0.68053797468354438</v>
      </c>
      <c r="G33" s="21">
        <v>47</v>
      </c>
      <c r="H33" s="22">
        <v>5</v>
      </c>
      <c r="I33" s="22">
        <f t="shared" si="2"/>
        <v>9.4</v>
      </c>
      <c r="J33" s="22">
        <v>2</v>
      </c>
      <c r="K33" s="22">
        <v>6</v>
      </c>
      <c r="L33" s="19">
        <v>6661.4</v>
      </c>
      <c r="M33" s="21">
        <v>1055</v>
      </c>
      <c r="N33" s="23">
        <v>45156</v>
      </c>
      <c r="O33" s="30" t="s">
        <v>30</v>
      </c>
      <c r="P33" s="77"/>
    </row>
    <row r="34" spans="1:16383" s="27" customFormat="1" ht="25.5" customHeight="1" x14ac:dyDescent="0.2">
      <c r="A34" s="22">
        <v>32</v>
      </c>
      <c r="B34" s="22">
        <v>27</v>
      </c>
      <c r="C34" s="18" t="s">
        <v>142</v>
      </c>
      <c r="D34" s="19">
        <v>147</v>
      </c>
      <c r="E34" s="19">
        <v>155.80000000000001</v>
      </c>
      <c r="F34" s="20">
        <f>(D34-E34)/E34</f>
        <v>-5.6482670089858862E-2</v>
      </c>
      <c r="G34" s="21">
        <v>28</v>
      </c>
      <c r="H34" s="22">
        <v>1</v>
      </c>
      <c r="I34" s="22">
        <f t="shared" si="2"/>
        <v>28</v>
      </c>
      <c r="J34" s="22">
        <v>1</v>
      </c>
      <c r="K34" s="22" t="s">
        <v>18</v>
      </c>
      <c r="L34" s="19">
        <v>9816.4</v>
      </c>
      <c r="M34" s="21">
        <v>1714</v>
      </c>
      <c r="N34" s="23">
        <v>45065</v>
      </c>
      <c r="O34" s="30" t="s">
        <v>40</v>
      </c>
      <c r="P34" s="77"/>
    </row>
    <row r="35" spans="1:16383" s="27" customFormat="1" ht="25.5" customHeight="1" x14ac:dyDescent="0.2">
      <c r="A35" s="22">
        <v>33</v>
      </c>
      <c r="B35" s="20" t="s">
        <v>18</v>
      </c>
      <c r="C35" s="18" t="s">
        <v>80</v>
      </c>
      <c r="D35" s="8">
        <v>117</v>
      </c>
      <c r="E35" s="19" t="s">
        <v>18</v>
      </c>
      <c r="F35" s="20" t="s">
        <v>18</v>
      </c>
      <c r="G35" s="10">
        <v>21</v>
      </c>
      <c r="H35" s="11">
        <v>1</v>
      </c>
      <c r="I35" s="22">
        <f t="shared" si="2"/>
        <v>21</v>
      </c>
      <c r="J35" s="11">
        <v>1</v>
      </c>
      <c r="K35" s="11" t="s">
        <v>18</v>
      </c>
      <c r="L35" s="19">
        <v>12113.72</v>
      </c>
      <c r="M35" s="21">
        <v>2153</v>
      </c>
      <c r="N35" s="12">
        <v>45012</v>
      </c>
      <c r="O35" s="31" t="s">
        <v>68</v>
      </c>
      <c r="P35" s="77"/>
    </row>
    <row r="36" spans="1:16383" s="27" customFormat="1" ht="25.5" customHeight="1" x14ac:dyDescent="0.2">
      <c r="A36" s="22">
        <v>34</v>
      </c>
      <c r="B36" s="20" t="s">
        <v>18</v>
      </c>
      <c r="C36" s="18" t="s">
        <v>67</v>
      </c>
      <c r="D36" s="8">
        <v>84</v>
      </c>
      <c r="E36" s="20" t="s">
        <v>18</v>
      </c>
      <c r="F36" s="20" t="s">
        <v>18</v>
      </c>
      <c r="G36" s="10">
        <v>14</v>
      </c>
      <c r="H36" s="11">
        <v>1</v>
      </c>
      <c r="I36" s="22">
        <f t="shared" si="2"/>
        <v>14</v>
      </c>
      <c r="J36" s="11">
        <v>1</v>
      </c>
      <c r="K36" s="20" t="s">
        <v>18</v>
      </c>
      <c r="L36" s="19">
        <v>47517.47</v>
      </c>
      <c r="M36" s="21">
        <v>7649</v>
      </c>
      <c r="N36" s="12">
        <v>45012</v>
      </c>
      <c r="O36" s="31" t="s">
        <v>68</v>
      </c>
      <c r="P36" s="77"/>
    </row>
    <row r="37" spans="1:16383" s="27" customFormat="1" ht="25.5" customHeight="1" x14ac:dyDescent="0.2">
      <c r="A37" s="22">
        <v>35</v>
      </c>
      <c r="B37" s="22" t="s">
        <v>31</v>
      </c>
      <c r="C37" s="18" t="s">
        <v>303</v>
      </c>
      <c r="D37" s="19">
        <v>73.900000000000006</v>
      </c>
      <c r="E37" s="19" t="s">
        <v>18</v>
      </c>
      <c r="F37" s="20" t="s">
        <v>18</v>
      </c>
      <c r="G37" s="21">
        <v>22</v>
      </c>
      <c r="H37" s="22" t="s">
        <v>18</v>
      </c>
      <c r="I37" s="22" t="s">
        <v>18</v>
      </c>
      <c r="J37" s="22">
        <v>8</v>
      </c>
      <c r="K37" s="22">
        <v>2</v>
      </c>
      <c r="L37" s="19">
        <v>73.900000000000006</v>
      </c>
      <c r="M37" s="21">
        <v>22</v>
      </c>
      <c r="N37" s="23">
        <v>45191</v>
      </c>
      <c r="O37" s="30" t="s">
        <v>48</v>
      </c>
      <c r="P37" s="77"/>
    </row>
    <row r="38" spans="1:16383" s="27" customFormat="1" ht="25.5" customHeight="1" x14ac:dyDescent="0.2">
      <c r="A38" s="22">
        <v>36</v>
      </c>
      <c r="B38" s="22">
        <v>30</v>
      </c>
      <c r="C38" s="18" t="s">
        <v>248</v>
      </c>
      <c r="D38" s="19">
        <v>52</v>
      </c>
      <c r="E38" s="19">
        <v>104</v>
      </c>
      <c r="F38" s="20">
        <f>(D38-E38)/E38</f>
        <v>-0.5</v>
      </c>
      <c r="G38" s="21">
        <v>17</v>
      </c>
      <c r="H38" s="22">
        <v>2</v>
      </c>
      <c r="I38" s="22">
        <f>G38/H38</f>
        <v>8.5</v>
      </c>
      <c r="J38" s="22">
        <v>2</v>
      </c>
      <c r="K38" s="22">
        <v>6</v>
      </c>
      <c r="L38" s="19">
        <v>16287.83</v>
      </c>
      <c r="M38" s="21">
        <v>3559</v>
      </c>
      <c r="N38" s="23">
        <v>45156</v>
      </c>
      <c r="O38" s="30" t="s">
        <v>13</v>
      </c>
      <c r="P38" s="77"/>
    </row>
    <row r="39" spans="1:16383" s="27" customFormat="1" ht="25.5" customHeight="1" x14ac:dyDescent="0.2">
      <c r="A39" s="22">
        <v>37</v>
      </c>
      <c r="B39" s="22">
        <v>34</v>
      </c>
      <c r="C39" s="18" t="s">
        <v>282</v>
      </c>
      <c r="D39" s="19">
        <v>33</v>
      </c>
      <c r="E39" s="19">
        <v>18</v>
      </c>
      <c r="F39" s="20">
        <f>(D39-E39)/E39</f>
        <v>0.83333333333333337</v>
      </c>
      <c r="G39" s="21">
        <v>13</v>
      </c>
      <c r="H39" s="22">
        <v>3</v>
      </c>
      <c r="I39" s="22">
        <f>G39/H39</f>
        <v>4.333333333333333</v>
      </c>
      <c r="J39" s="22">
        <v>1</v>
      </c>
      <c r="K39" s="22">
        <v>4</v>
      </c>
      <c r="L39" s="19">
        <v>10502.25</v>
      </c>
      <c r="M39" s="21">
        <v>1749</v>
      </c>
      <c r="N39" s="23">
        <v>45170</v>
      </c>
      <c r="O39" s="30" t="s">
        <v>170</v>
      </c>
      <c r="P39" s="77"/>
    </row>
    <row r="40" spans="1:16383" s="45" customFormat="1" ht="25.9" customHeight="1" x14ac:dyDescent="0.2">
      <c r="A40" s="67"/>
      <c r="B40" s="67"/>
      <c r="C40" s="46" t="s">
        <v>293</v>
      </c>
      <c r="D40" s="47">
        <f>SUBTOTAL(109,Table13245879101112131415161718192021222326[Pajamos 
(GBO)])</f>
        <v>296645.44000000006</v>
      </c>
      <c r="E40" s="47" t="s">
        <v>301</v>
      </c>
      <c r="F40" s="42">
        <f t="shared" ref="F40" si="3">(D40-E40)/E40</f>
        <v>0.15954125786655224</v>
      </c>
      <c r="G40" s="43">
        <f>SUBTOTAL(109,Table13245879101112131415161718192021222326[Žiūrovų sk. 
(ADM)])</f>
        <v>48875</v>
      </c>
      <c r="H40" s="51"/>
      <c r="I40" s="51"/>
      <c r="J40" s="51"/>
      <c r="K40" s="46"/>
      <c r="L40" s="53"/>
      <c r="M40" s="55"/>
      <c r="N40" s="60"/>
      <c r="O40" s="80"/>
    </row>
    <row r="41" spans="1:16383" ht="11.25" hidden="1" x14ac:dyDescent="0.15">
      <c r="A41" s="38"/>
      <c r="B41" s="38"/>
      <c r="K41" s="1"/>
    </row>
    <row r="42" spans="1:16383" ht="11.25" hidden="1" x14ac:dyDescent="0.15">
      <c r="A42" s="38"/>
      <c r="B42" s="38"/>
      <c r="K42" s="1"/>
    </row>
    <row r="43" spans="1:16383" ht="11.25" hidden="1" x14ac:dyDescent="0.15">
      <c r="A43" s="38"/>
      <c r="B43" s="38"/>
      <c r="K43" s="1"/>
    </row>
    <row r="44" spans="1:16383" ht="11.25" hidden="1" x14ac:dyDescent="0.15">
      <c r="A44" s="38"/>
      <c r="B44" s="38"/>
      <c r="K44" s="1"/>
    </row>
    <row r="45" spans="1:16383" ht="11.25" hidden="1" x14ac:dyDescent="0.15">
      <c r="A45" s="38"/>
      <c r="B45" s="38"/>
      <c r="K45" s="1"/>
    </row>
    <row r="46" spans="1:16383" ht="11.25" hidden="1" x14ac:dyDescent="0.15">
      <c r="A46" s="38"/>
      <c r="B46" s="38"/>
      <c r="K46" s="1"/>
    </row>
    <row r="47" spans="1:16383" s="37" customFormat="1" ht="11.25" hidden="1" x14ac:dyDescent="0.15">
      <c r="A47" s="38"/>
      <c r="B47" s="38"/>
      <c r="C47" s="1"/>
      <c r="F47" s="58"/>
      <c r="G47" s="56"/>
      <c r="H47" s="38"/>
      <c r="I47" s="38"/>
      <c r="J47" s="38"/>
      <c r="K47" s="1"/>
      <c r="M47" s="56"/>
      <c r="N47" s="39"/>
      <c r="O47" s="8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  <c r="XFC47" s="1"/>
    </row>
    <row r="48" spans="1:16383" s="37" customFormat="1" ht="11.25" hidden="1" x14ac:dyDescent="0.15">
      <c r="A48" s="38"/>
      <c r="B48" s="38"/>
      <c r="C48" s="1"/>
      <c r="F48" s="58"/>
      <c r="G48" s="56"/>
      <c r="H48" s="38"/>
      <c r="I48" s="38"/>
      <c r="J48" s="38"/>
      <c r="K48" s="1"/>
      <c r="M48" s="56"/>
      <c r="N48" s="39"/>
      <c r="O48" s="8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</row>
    <row r="49" spans="1:16383" s="37" customFormat="1" ht="11.25" hidden="1" x14ac:dyDescent="0.15">
      <c r="A49" s="38"/>
      <c r="B49" s="38"/>
      <c r="C49" s="1"/>
      <c r="F49" s="58"/>
      <c r="G49" s="56"/>
      <c r="H49" s="38"/>
      <c r="I49" s="38"/>
      <c r="J49" s="38"/>
      <c r="K49" s="1"/>
      <c r="M49" s="56"/>
      <c r="N49" s="39"/>
      <c r="O49" s="8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  <row r="50" spans="1:16383" s="37" customFormat="1" ht="11.25" hidden="1" x14ac:dyDescent="0.15">
      <c r="A50" s="38"/>
      <c r="B50" s="38"/>
      <c r="C50" s="1"/>
      <c r="F50" s="58"/>
      <c r="G50" s="56"/>
      <c r="H50" s="38"/>
      <c r="I50" s="38"/>
      <c r="J50" s="38"/>
      <c r="K50" s="1"/>
      <c r="M50" s="56"/>
      <c r="N50" s="39"/>
      <c r="O50" s="8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</row>
    <row r="51" spans="1:16383" s="37" customFormat="1" ht="11.25" hidden="1" x14ac:dyDescent="0.15">
      <c r="A51" s="38"/>
      <c r="B51" s="38"/>
      <c r="C51" s="1"/>
      <c r="F51" s="58"/>
      <c r="G51" s="56"/>
      <c r="H51" s="38"/>
      <c r="I51" s="38"/>
      <c r="J51" s="38"/>
      <c r="K51" s="1"/>
      <c r="M51" s="56"/>
      <c r="N51" s="39"/>
      <c r="O51" s="8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  <c r="XFC51" s="1"/>
    </row>
    <row r="52" spans="1:16383" s="37" customFormat="1" ht="11.25" hidden="1" x14ac:dyDescent="0.15">
      <c r="A52" s="38"/>
      <c r="B52" s="38"/>
      <c r="C52" s="1"/>
      <c r="F52" s="58"/>
      <c r="G52" s="56"/>
      <c r="H52" s="38"/>
      <c r="I52" s="38"/>
      <c r="J52" s="38"/>
      <c r="K52" s="1"/>
      <c r="M52" s="56"/>
      <c r="N52" s="39"/>
      <c r="O52" s="8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  <c r="XFB52" s="1"/>
      <c r="XFC52" s="1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CBACF-7095-4B25-B418-17FD0F7F9C5C}">
  <dimension ref="A1:XFC50"/>
  <sheetViews>
    <sheetView topLeftCell="A6" zoomScale="60" zoomScaleNormal="60" workbookViewId="0">
      <selection activeCell="C34" sqref="C34:O34"/>
    </sheetView>
  </sheetViews>
  <sheetFormatPr defaultColWidth="0" defaultRowHeight="0" customHeight="1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81" customWidth="1"/>
    <col min="16" max="16" width="31.85546875" style="1" hidden="1" customWidth="1"/>
    <col min="17" max="16384" width="5.42578125" style="1" hidden="1"/>
  </cols>
  <sheetData>
    <row r="1" spans="1:18" s="4" customFormat="1" ht="40.5" customHeight="1" thickBot="1" x14ac:dyDescent="0.25">
      <c r="A1" s="87" t="s">
        <v>294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50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22">
        <v>1</v>
      </c>
      <c r="B3" s="22">
        <v>1</v>
      </c>
      <c r="C3" s="18" t="s">
        <v>283</v>
      </c>
      <c r="D3" s="19">
        <v>56763.99</v>
      </c>
      <c r="E3" s="19">
        <v>80921.539999999994</v>
      </c>
      <c r="F3" s="20">
        <f>(D3-E3)/E3</f>
        <v>-0.29853052722427176</v>
      </c>
      <c r="G3" s="21">
        <v>7452</v>
      </c>
      <c r="H3" s="22">
        <v>193</v>
      </c>
      <c r="I3" s="22">
        <f>G3/H3</f>
        <v>38.611398963730572</v>
      </c>
      <c r="J3" s="22">
        <v>11</v>
      </c>
      <c r="K3" s="22">
        <v>2</v>
      </c>
      <c r="L3" s="19">
        <v>144491.04</v>
      </c>
      <c r="M3" s="21">
        <v>19269</v>
      </c>
      <c r="N3" s="23">
        <v>45177</v>
      </c>
      <c r="O3" s="30" t="s">
        <v>14</v>
      </c>
    </row>
    <row r="4" spans="1:18" s="24" customFormat="1" ht="25.9" customHeight="1" x14ac:dyDescent="0.2">
      <c r="A4" s="22">
        <v>2</v>
      </c>
      <c r="B4" s="22" t="s">
        <v>31</v>
      </c>
      <c r="C4" s="18" t="s">
        <v>290</v>
      </c>
      <c r="D4" s="19">
        <v>41265</v>
      </c>
      <c r="E4" s="20" t="s">
        <v>18</v>
      </c>
      <c r="F4" s="20" t="s">
        <v>18</v>
      </c>
      <c r="G4" s="21">
        <v>6212</v>
      </c>
      <c r="H4" s="20" t="s">
        <v>18</v>
      </c>
      <c r="I4" s="20" t="s">
        <v>18</v>
      </c>
      <c r="J4" s="22">
        <v>14</v>
      </c>
      <c r="K4" s="22">
        <v>1</v>
      </c>
      <c r="L4" s="19">
        <v>54485</v>
      </c>
      <c r="M4" s="21">
        <v>7454</v>
      </c>
      <c r="N4" s="23">
        <v>45184</v>
      </c>
      <c r="O4" s="30" t="s">
        <v>15</v>
      </c>
    </row>
    <row r="5" spans="1:18" s="24" customFormat="1" ht="25.9" customHeight="1" x14ac:dyDescent="0.2">
      <c r="A5" s="22">
        <v>3</v>
      </c>
      <c r="B5" s="22" t="s">
        <v>31</v>
      </c>
      <c r="C5" s="18" t="s">
        <v>291</v>
      </c>
      <c r="D5" s="74">
        <v>34165.519999999997</v>
      </c>
      <c r="E5" s="19">
        <v>5772</v>
      </c>
      <c r="F5" s="20">
        <f>(D5-E5)/E5</f>
        <v>4.9191822591822589</v>
      </c>
      <c r="G5" s="73">
        <v>6657</v>
      </c>
      <c r="H5" s="75">
        <v>311</v>
      </c>
      <c r="I5" s="22">
        <f t="shared" ref="I5:I13" si="0">G5/H5</f>
        <v>21.405144694533764</v>
      </c>
      <c r="J5" s="75">
        <v>16</v>
      </c>
      <c r="K5" s="75">
        <v>1</v>
      </c>
      <c r="L5" s="74">
        <v>39937.519999999997</v>
      </c>
      <c r="M5" s="73">
        <v>7686</v>
      </c>
      <c r="N5" s="23">
        <v>45184</v>
      </c>
      <c r="O5" s="30" t="s">
        <v>13</v>
      </c>
      <c r="R5" s="17"/>
    </row>
    <row r="6" spans="1:18" s="24" customFormat="1" ht="25.9" customHeight="1" x14ac:dyDescent="0.2">
      <c r="A6" s="22">
        <v>4</v>
      </c>
      <c r="B6" s="22" t="s">
        <v>31</v>
      </c>
      <c r="C6" s="18" t="s">
        <v>292</v>
      </c>
      <c r="D6" s="19">
        <v>27973.71</v>
      </c>
      <c r="E6" s="20" t="s">
        <v>18</v>
      </c>
      <c r="F6" s="20" t="s">
        <v>18</v>
      </c>
      <c r="G6" s="21">
        <v>3996</v>
      </c>
      <c r="H6" s="22">
        <v>251</v>
      </c>
      <c r="I6" s="22">
        <f t="shared" si="0"/>
        <v>15.920318725099602</v>
      </c>
      <c r="J6" s="22">
        <v>19</v>
      </c>
      <c r="K6" s="22">
        <v>1</v>
      </c>
      <c r="L6" s="19">
        <v>28554.36</v>
      </c>
      <c r="M6" s="21">
        <v>4087</v>
      </c>
      <c r="N6" s="23">
        <v>45184</v>
      </c>
      <c r="O6" s="30" t="s">
        <v>40</v>
      </c>
      <c r="R6" s="17"/>
    </row>
    <row r="7" spans="1:18" s="24" customFormat="1" ht="25.5" customHeight="1" x14ac:dyDescent="0.2">
      <c r="A7" s="22">
        <v>5</v>
      </c>
      <c r="B7" s="22">
        <v>2</v>
      </c>
      <c r="C7" s="18" t="s">
        <v>222</v>
      </c>
      <c r="D7" s="19">
        <v>17297.05</v>
      </c>
      <c r="E7" s="19">
        <v>19419.23</v>
      </c>
      <c r="F7" s="20">
        <f>(D7-E7)/E7</f>
        <v>-0.10928239688185373</v>
      </c>
      <c r="G7" s="21">
        <v>2518</v>
      </c>
      <c r="H7" s="22">
        <v>102</v>
      </c>
      <c r="I7" s="22">
        <f t="shared" si="0"/>
        <v>24.686274509803923</v>
      </c>
      <c r="J7" s="22">
        <v>10</v>
      </c>
      <c r="K7" s="22">
        <v>9</v>
      </c>
      <c r="L7" s="19">
        <v>1032587.95</v>
      </c>
      <c r="M7" s="21">
        <v>144902</v>
      </c>
      <c r="N7" s="23">
        <v>45128</v>
      </c>
      <c r="O7" s="30" t="s">
        <v>179</v>
      </c>
      <c r="R7" s="17"/>
    </row>
    <row r="8" spans="1:18" s="24" customFormat="1" ht="25.9" customHeight="1" x14ac:dyDescent="0.2">
      <c r="A8" s="22">
        <v>6</v>
      </c>
      <c r="B8" s="22">
        <v>5</v>
      </c>
      <c r="C8" s="18" t="s">
        <v>239</v>
      </c>
      <c r="D8" s="19">
        <v>12845.83</v>
      </c>
      <c r="E8" s="19">
        <v>13635.97</v>
      </c>
      <c r="F8" s="20">
        <f>(D8-E8)/E8</f>
        <v>-5.7945272686871524E-2</v>
      </c>
      <c r="G8" s="21">
        <v>1946</v>
      </c>
      <c r="H8" s="22">
        <v>70</v>
      </c>
      <c r="I8" s="22">
        <f t="shared" si="0"/>
        <v>27.8</v>
      </c>
      <c r="J8" s="22">
        <v>6</v>
      </c>
      <c r="K8" s="22">
        <v>6</v>
      </c>
      <c r="L8" s="19">
        <v>210244.69</v>
      </c>
      <c r="M8" s="21">
        <v>33302</v>
      </c>
      <c r="N8" s="23">
        <v>45149</v>
      </c>
      <c r="O8" s="30" t="s">
        <v>12</v>
      </c>
      <c r="R8" s="17"/>
    </row>
    <row r="9" spans="1:18" s="24" customFormat="1" ht="25.9" customHeight="1" x14ac:dyDescent="0.2">
      <c r="A9" s="22">
        <v>7</v>
      </c>
      <c r="B9" s="22">
        <v>6</v>
      </c>
      <c r="C9" s="18" t="s">
        <v>274</v>
      </c>
      <c r="D9" s="19">
        <v>11314.69</v>
      </c>
      <c r="E9" s="19">
        <v>13506.11</v>
      </c>
      <c r="F9" s="20">
        <f>(D9-E9)/E9</f>
        <v>-0.16225397246135267</v>
      </c>
      <c r="G9" s="21">
        <v>2138</v>
      </c>
      <c r="H9" s="22">
        <v>166</v>
      </c>
      <c r="I9" s="22">
        <f t="shared" si="0"/>
        <v>12.879518072289157</v>
      </c>
      <c r="J9" s="22">
        <v>14</v>
      </c>
      <c r="K9" s="22">
        <v>4</v>
      </c>
      <c r="L9" s="19">
        <v>97244</v>
      </c>
      <c r="M9" s="21">
        <v>19752</v>
      </c>
      <c r="N9" s="23">
        <v>45163</v>
      </c>
      <c r="O9" s="30" t="s">
        <v>16</v>
      </c>
      <c r="R9" s="17"/>
    </row>
    <row r="10" spans="1:18" s="24" customFormat="1" ht="25.5" customHeight="1" x14ac:dyDescent="0.2">
      <c r="A10" s="22">
        <v>8</v>
      </c>
      <c r="B10" s="22">
        <v>3</v>
      </c>
      <c r="C10" s="18" t="s">
        <v>271</v>
      </c>
      <c r="D10" s="19">
        <v>11122.05</v>
      </c>
      <c r="E10" s="19">
        <v>16434.080000000002</v>
      </c>
      <c r="F10" s="20">
        <f>(D10-E10)/E10</f>
        <v>-0.32323257523390431</v>
      </c>
      <c r="G10" s="21">
        <v>1579</v>
      </c>
      <c r="H10" s="22">
        <v>74</v>
      </c>
      <c r="I10" s="22">
        <f t="shared" si="0"/>
        <v>21.337837837837839</v>
      </c>
      <c r="J10" s="22">
        <v>8</v>
      </c>
      <c r="K10" s="22">
        <v>3</v>
      </c>
      <c r="L10" s="19">
        <v>62190.33</v>
      </c>
      <c r="M10" s="21">
        <v>8838</v>
      </c>
      <c r="N10" s="23">
        <v>45170</v>
      </c>
      <c r="O10" s="30" t="s">
        <v>12</v>
      </c>
      <c r="R10" s="17"/>
    </row>
    <row r="11" spans="1:18" s="24" customFormat="1" ht="25.9" customHeight="1" x14ac:dyDescent="0.2">
      <c r="A11" s="22">
        <v>9</v>
      </c>
      <c r="B11" s="22">
        <v>4</v>
      </c>
      <c r="C11" s="18" t="s">
        <v>213</v>
      </c>
      <c r="D11" s="19">
        <v>10357.129999999999</v>
      </c>
      <c r="E11" s="19">
        <v>14582.08</v>
      </c>
      <c r="F11" s="20">
        <f>(D11-E11)/E11</f>
        <v>-0.2897357578617043</v>
      </c>
      <c r="G11" s="21">
        <v>1591</v>
      </c>
      <c r="H11" s="22">
        <v>133</v>
      </c>
      <c r="I11" s="22">
        <f t="shared" si="0"/>
        <v>11.962406015037594</v>
      </c>
      <c r="J11" s="22">
        <v>11</v>
      </c>
      <c r="K11" s="22">
        <v>9</v>
      </c>
      <c r="L11" s="19">
        <v>1146919.9099999999</v>
      </c>
      <c r="M11" s="21">
        <v>174460</v>
      </c>
      <c r="N11" s="23">
        <v>45128</v>
      </c>
      <c r="O11" s="30" t="s">
        <v>14</v>
      </c>
      <c r="R11" s="17"/>
    </row>
    <row r="12" spans="1:18" s="24" customFormat="1" ht="25.9" customHeight="1" x14ac:dyDescent="0.2">
      <c r="A12" s="22">
        <v>10</v>
      </c>
      <c r="B12" s="22" t="s">
        <v>57</v>
      </c>
      <c r="C12" s="18" t="s">
        <v>296</v>
      </c>
      <c r="D12" s="19">
        <v>8755</v>
      </c>
      <c r="E12" s="20" t="s">
        <v>18</v>
      </c>
      <c r="F12" s="20" t="s">
        <v>18</v>
      </c>
      <c r="G12" s="21">
        <v>1175</v>
      </c>
      <c r="H12" s="22">
        <v>9</v>
      </c>
      <c r="I12" s="22">
        <f t="shared" si="0"/>
        <v>130.55555555555554</v>
      </c>
      <c r="J12" s="22">
        <v>7</v>
      </c>
      <c r="K12" s="22">
        <v>0</v>
      </c>
      <c r="L12" s="19">
        <v>8755</v>
      </c>
      <c r="M12" s="21">
        <v>1175</v>
      </c>
      <c r="N12" s="23" t="s">
        <v>59</v>
      </c>
      <c r="O12" s="30" t="s">
        <v>68</v>
      </c>
      <c r="R12" s="17"/>
    </row>
    <row r="13" spans="1:18" s="27" customFormat="1" ht="25.5" customHeight="1" x14ac:dyDescent="0.15">
      <c r="A13" s="22">
        <v>11</v>
      </c>
      <c r="B13" s="22">
        <v>10</v>
      </c>
      <c r="C13" s="18" t="s">
        <v>181</v>
      </c>
      <c r="D13" s="19">
        <v>4218.66</v>
      </c>
      <c r="E13" s="19">
        <v>7401.15</v>
      </c>
      <c r="F13" s="20">
        <f>(D13-E13)/E13</f>
        <v>-0.42999939198638049</v>
      </c>
      <c r="G13" s="21">
        <v>773</v>
      </c>
      <c r="H13" s="22">
        <v>41</v>
      </c>
      <c r="I13" s="22">
        <f t="shared" si="0"/>
        <v>18.853658536585368</v>
      </c>
      <c r="J13" s="22">
        <v>5</v>
      </c>
      <c r="K13" s="22">
        <v>14</v>
      </c>
      <c r="L13" s="19">
        <v>493123.22</v>
      </c>
      <c r="M13" s="21">
        <v>97381</v>
      </c>
      <c r="N13" s="23">
        <v>45093</v>
      </c>
      <c r="O13" s="30" t="s">
        <v>40</v>
      </c>
    </row>
    <row r="14" spans="1:18" s="27" customFormat="1" ht="25.9" customHeight="1" x14ac:dyDescent="0.15">
      <c r="A14" s="22">
        <v>12</v>
      </c>
      <c r="B14" s="22">
        <v>8</v>
      </c>
      <c r="C14" s="18" t="s">
        <v>280</v>
      </c>
      <c r="D14" s="19">
        <v>3694</v>
      </c>
      <c r="E14" s="19">
        <v>8888.5</v>
      </c>
      <c r="F14" s="20">
        <f>(D14-E14)/E14</f>
        <v>-0.58440681779827863</v>
      </c>
      <c r="G14" s="21">
        <v>703</v>
      </c>
      <c r="H14" s="22" t="s">
        <v>18</v>
      </c>
      <c r="I14" s="22" t="s">
        <v>18</v>
      </c>
      <c r="J14" s="22">
        <v>12</v>
      </c>
      <c r="K14" s="22">
        <v>3</v>
      </c>
      <c r="L14" s="19">
        <v>36998</v>
      </c>
      <c r="M14" s="21">
        <v>7675</v>
      </c>
      <c r="N14" s="23">
        <v>45170</v>
      </c>
      <c r="O14" s="30" t="s">
        <v>15</v>
      </c>
    </row>
    <row r="15" spans="1:18" s="27" customFormat="1" ht="25.9" customHeight="1" x14ac:dyDescent="0.2">
      <c r="A15" s="22">
        <v>13</v>
      </c>
      <c r="B15" s="22">
        <v>9</v>
      </c>
      <c r="C15" s="18" t="s">
        <v>272</v>
      </c>
      <c r="D15" s="19">
        <v>2798</v>
      </c>
      <c r="E15" s="19">
        <v>8113</v>
      </c>
      <c r="F15" s="20">
        <f>(D15-E15)/E15</f>
        <v>-0.65512141008258351</v>
      </c>
      <c r="G15" s="21">
        <v>401</v>
      </c>
      <c r="H15" s="22" t="s">
        <v>18</v>
      </c>
      <c r="I15" s="22" t="s">
        <v>18</v>
      </c>
      <c r="J15" s="22">
        <v>5</v>
      </c>
      <c r="K15" s="22">
        <v>4</v>
      </c>
      <c r="L15" s="19">
        <v>65522</v>
      </c>
      <c r="M15" s="21">
        <v>10238</v>
      </c>
      <c r="N15" s="23">
        <v>45132</v>
      </c>
      <c r="O15" s="30" t="s">
        <v>15</v>
      </c>
      <c r="P15" s="77"/>
    </row>
    <row r="16" spans="1:18" s="27" customFormat="1" ht="25.9" customHeight="1" x14ac:dyDescent="0.2">
      <c r="A16" s="22">
        <v>14</v>
      </c>
      <c r="B16" s="22">
        <v>14</v>
      </c>
      <c r="C16" s="18" t="s">
        <v>264</v>
      </c>
      <c r="D16" s="19">
        <v>2303.1799999999998</v>
      </c>
      <c r="E16" s="19">
        <v>4049.26</v>
      </c>
      <c r="F16" s="20">
        <f>(D16-E16)/E16</f>
        <v>-0.43120965312180504</v>
      </c>
      <c r="G16" s="21">
        <v>408</v>
      </c>
      <c r="H16" s="22">
        <v>22</v>
      </c>
      <c r="I16" s="22">
        <f>G16/H16</f>
        <v>18.545454545454547</v>
      </c>
      <c r="J16" s="22">
        <v>7</v>
      </c>
      <c r="K16" s="22">
        <v>5</v>
      </c>
      <c r="L16" s="19">
        <v>38420.589999999997</v>
      </c>
      <c r="M16" s="21">
        <v>6619</v>
      </c>
      <c r="N16" s="23">
        <v>45156</v>
      </c>
      <c r="O16" s="30" t="s">
        <v>64</v>
      </c>
      <c r="P16" s="77"/>
    </row>
    <row r="17" spans="1:16" s="27" customFormat="1" ht="25.9" customHeight="1" x14ac:dyDescent="0.2">
      <c r="A17" s="22">
        <v>15</v>
      </c>
      <c r="B17" s="22">
        <v>13</v>
      </c>
      <c r="C17" s="18" t="s">
        <v>289</v>
      </c>
      <c r="D17" s="74">
        <v>2120</v>
      </c>
      <c r="E17" s="19">
        <v>5383</v>
      </c>
      <c r="F17" s="20">
        <f>(D17-E17)/E17</f>
        <v>-0.60616756455508081</v>
      </c>
      <c r="G17" s="73">
        <v>413</v>
      </c>
      <c r="H17" s="20" t="s">
        <v>18</v>
      </c>
      <c r="I17" s="20" t="s">
        <v>18</v>
      </c>
      <c r="J17" s="75">
        <v>10</v>
      </c>
      <c r="K17" s="75">
        <v>2</v>
      </c>
      <c r="L17" s="74">
        <v>7503</v>
      </c>
      <c r="M17" s="73">
        <v>1356</v>
      </c>
      <c r="N17" s="23">
        <v>45177</v>
      </c>
      <c r="O17" s="30" t="s">
        <v>15</v>
      </c>
      <c r="P17" s="77"/>
    </row>
    <row r="18" spans="1:16" s="27" customFormat="1" ht="25.9" customHeight="1" x14ac:dyDescent="0.2">
      <c r="A18" s="22">
        <v>16</v>
      </c>
      <c r="B18" s="22" t="s">
        <v>31</v>
      </c>
      <c r="C18" s="7" t="s">
        <v>298</v>
      </c>
      <c r="D18" s="8">
        <v>1878</v>
      </c>
      <c r="E18" s="20" t="s">
        <v>18</v>
      </c>
      <c r="F18" s="20" t="s">
        <v>18</v>
      </c>
      <c r="G18" s="10">
        <v>311</v>
      </c>
      <c r="H18" s="20" t="s">
        <v>18</v>
      </c>
      <c r="I18" s="20" t="s">
        <v>18</v>
      </c>
      <c r="J18" s="11">
        <v>8</v>
      </c>
      <c r="K18" s="11">
        <v>1</v>
      </c>
      <c r="L18" s="19">
        <v>1878</v>
      </c>
      <c r="M18" s="21">
        <v>311</v>
      </c>
      <c r="N18" s="12">
        <v>45184</v>
      </c>
      <c r="O18" s="31" t="s">
        <v>299</v>
      </c>
      <c r="P18" s="77"/>
    </row>
    <row r="19" spans="1:16" s="27" customFormat="1" ht="25.5" customHeight="1" x14ac:dyDescent="0.2">
      <c r="A19" s="22">
        <v>17</v>
      </c>
      <c r="B19" s="22">
        <v>11</v>
      </c>
      <c r="C19" s="18" t="s">
        <v>281</v>
      </c>
      <c r="D19" s="19">
        <v>1784</v>
      </c>
      <c r="E19" s="19">
        <v>6143.5</v>
      </c>
      <c r="F19" s="20">
        <f>(D19-E19)/E19</f>
        <v>-0.70961178481321718</v>
      </c>
      <c r="G19" s="21">
        <v>251</v>
      </c>
      <c r="H19" s="22" t="s">
        <v>18</v>
      </c>
      <c r="I19" s="22" t="s">
        <v>18</v>
      </c>
      <c r="J19" s="22">
        <v>1</v>
      </c>
      <c r="K19" s="22">
        <v>3</v>
      </c>
      <c r="L19" s="19">
        <v>22077</v>
      </c>
      <c r="M19" s="21">
        <v>3316</v>
      </c>
      <c r="N19" s="23">
        <v>45170</v>
      </c>
      <c r="O19" s="30" t="s">
        <v>15</v>
      </c>
      <c r="P19" s="77"/>
    </row>
    <row r="20" spans="1:16" s="27" customFormat="1" ht="25.9" customHeight="1" x14ac:dyDescent="0.2">
      <c r="A20" s="22">
        <v>18</v>
      </c>
      <c r="B20" s="22" t="s">
        <v>57</v>
      </c>
      <c r="C20" s="18" t="s">
        <v>297</v>
      </c>
      <c r="D20" s="19">
        <v>1303.2</v>
      </c>
      <c r="E20" s="20" t="s">
        <v>18</v>
      </c>
      <c r="F20" s="20" t="s">
        <v>18</v>
      </c>
      <c r="G20" s="21">
        <v>153</v>
      </c>
      <c r="H20" s="22">
        <v>5</v>
      </c>
      <c r="I20" s="22">
        <f>G20/H20</f>
        <v>30.6</v>
      </c>
      <c r="J20" s="22">
        <v>5</v>
      </c>
      <c r="K20" s="22">
        <v>0</v>
      </c>
      <c r="L20" s="19">
        <v>1303.2</v>
      </c>
      <c r="M20" s="21">
        <v>153</v>
      </c>
      <c r="N20" s="23" t="s">
        <v>59</v>
      </c>
      <c r="O20" s="30" t="s">
        <v>64</v>
      </c>
      <c r="P20" s="77"/>
    </row>
    <row r="21" spans="1:16" s="27" customFormat="1" ht="25.9" customHeight="1" x14ac:dyDescent="0.2">
      <c r="A21" s="22">
        <v>19</v>
      </c>
      <c r="B21" s="22">
        <v>19</v>
      </c>
      <c r="C21" s="18" t="s">
        <v>261</v>
      </c>
      <c r="D21" s="19">
        <v>632</v>
      </c>
      <c r="E21" s="19">
        <v>1049.7</v>
      </c>
      <c r="F21" s="20">
        <f t="shared" ref="F21:F32" si="1">(D21-E21)/E21</f>
        <v>-0.39792321615699727</v>
      </c>
      <c r="G21" s="21">
        <v>103</v>
      </c>
      <c r="H21" s="20" t="s">
        <v>18</v>
      </c>
      <c r="I21" s="20" t="s">
        <v>18</v>
      </c>
      <c r="J21" s="20" t="s">
        <v>18</v>
      </c>
      <c r="K21" s="22">
        <v>5</v>
      </c>
      <c r="L21" s="19">
        <v>6354</v>
      </c>
      <c r="M21" s="21">
        <v>993</v>
      </c>
      <c r="N21" s="23">
        <v>45156</v>
      </c>
      <c r="O21" s="30" t="s">
        <v>30</v>
      </c>
      <c r="P21" s="77"/>
    </row>
    <row r="22" spans="1:16" s="27" customFormat="1" ht="25.9" customHeight="1" x14ac:dyDescent="0.2">
      <c r="A22" s="22">
        <v>20</v>
      </c>
      <c r="B22" s="22">
        <v>24</v>
      </c>
      <c r="C22" s="18" t="s">
        <v>235</v>
      </c>
      <c r="D22" s="19">
        <v>523.4000000000002</v>
      </c>
      <c r="E22" s="19">
        <v>509.39999999999986</v>
      </c>
      <c r="F22" s="20">
        <f t="shared" si="1"/>
        <v>2.7483313702395651E-2</v>
      </c>
      <c r="G22" s="21">
        <v>87</v>
      </c>
      <c r="H22" s="22">
        <v>7</v>
      </c>
      <c r="I22" s="22">
        <f t="shared" ref="I22:I36" si="2">G22/H22</f>
        <v>12.428571428571429</v>
      </c>
      <c r="J22" s="22">
        <v>4</v>
      </c>
      <c r="K22" s="20" t="s">
        <v>18</v>
      </c>
      <c r="L22" s="19">
        <v>7265.4100000000008</v>
      </c>
      <c r="M22" s="21">
        <v>1251</v>
      </c>
      <c r="N22" s="23">
        <v>45135</v>
      </c>
      <c r="O22" s="30" t="s">
        <v>117</v>
      </c>
      <c r="P22" s="77"/>
    </row>
    <row r="23" spans="1:16" s="27" customFormat="1" ht="25.9" customHeight="1" x14ac:dyDescent="0.2">
      <c r="A23" s="22">
        <v>21</v>
      </c>
      <c r="B23" s="22">
        <v>20</v>
      </c>
      <c r="C23" s="18" t="s">
        <v>209</v>
      </c>
      <c r="D23" s="19">
        <v>507.64</v>
      </c>
      <c r="E23" s="19">
        <v>836.96</v>
      </c>
      <c r="F23" s="20">
        <f t="shared" si="1"/>
        <v>-0.39347161154654947</v>
      </c>
      <c r="G23" s="21">
        <v>73</v>
      </c>
      <c r="H23" s="22">
        <v>4</v>
      </c>
      <c r="I23" s="22">
        <f t="shared" si="2"/>
        <v>18.25</v>
      </c>
      <c r="J23" s="22">
        <v>1</v>
      </c>
      <c r="K23" s="22">
        <v>10</v>
      </c>
      <c r="L23" s="19">
        <v>196168.97</v>
      </c>
      <c r="M23" s="21">
        <v>28657</v>
      </c>
      <c r="N23" s="23">
        <v>45121</v>
      </c>
      <c r="O23" s="30" t="s">
        <v>180</v>
      </c>
      <c r="P23" s="77"/>
    </row>
    <row r="24" spans="1:16" s="27" customFormat="1" ht="25.9" customHeight="1" x14ac:dyDescent="0.2">
      <c r="A24" s="22">
        <v>22</v>
      </c>
      <c r="B24" s="22">
        <v>17</v>
      </c>
      <c r="C24" s="18" t="s">
        <v>233</v>
      </c>
      <c r="D24" s="19">
        <v>354.78</v>
      </c>
      <c r="E24" s="19">
        <v>1592.54</v>
      </c>
      <c r="F24" s="20">
        <f t="shared" si="1"/>
        <v>-0.77722380599545382</v>
      </c>
      <c r="G24" s="21">
        <v>58</v>
      </c>
      <c r="H24" s="22">
        <v>3</v>
      </c>
      <c r="I24" s="22">
        <f t="shared" si="2"/>
        <v>19.333333333333332</v>
      </c>
      <c r="J24" s="22">
        <v>1</v>
      </c>
      <c r="K24" s="22">
        <v>7</v>
      </c>
      <c r="L24" s="19">
        <v>76883.77</v>
      </c>
      <c r="M24" s="21">
        <v>15191</v>
      </c>
      <c r="N24" s="23">
        <v>45142</v>
      </c>
      <c r="O24" s="30" t="s">
        <v>180</v>
      </c>
      <c r="P24" s="77"/>
    </row>
    <row r="25" spans="1:16" s="27" customFormat="1" ht="25.9" customHeight="1" x14ac:dyDescent="0.2">
      <c r="A25" s="22">
        <v>23</v>
      </c>
      <c r="B25" s="22">
        <v>33</v>
      </c>
      <c r="C25" s="18" t="s">
        <v>174</v>
      </c>
      <c r="D25" s="19">
        <v>325.8</v>
      </c>
      <c r="E25" s="19">
        <v>129.69999999999999</v>
      </c>
      <c r="F25" s="20">
        <f t="shared" si="1"/>
        <v>1.51195065535852</v>
      </c>
      <c r="G25" s="21">
        <v>51</v>
      </c>
      <c r="H25" s="22">
        <v>2</v>
      </c>
      <c r="I25" s="22">
        <f t="shared" si="2"/>
        <v>25.5</v>
      </c>
      <c r="J25" s="22">
        <v>2</v>
      </c>
      <c r="K25" s="20" t="s">
        <v>18</v>
      </c>
      <c r="L25" s="19">
        <v>58097.18</v>
      </c>
      <c r="M25" s="21">
        <v>9387</v>
      </c>
      <c r="N25" s="23">
        <v>45086</v>
      </c>
      <c r="O25" s="30" t="s">
        <v>179</v>
      </c>
      <c r="P25" s="77"/>
    </row>
    <row r="26" spans="1:16" s="27" customFormat="1" ht="25.5" customHeight="1" x14ac:dyDescent="0.2">
      <c r="A26" s="22">
        <v>24</v>
      </c>
      <c r="B26" s="22">
        <v>26</v>
      </c>
      <c r="C26" s="18" t="s">
        <v>214</v>
      </c>
      <c r="D26" s="19">
        <v>318.79999999999973</v>
      </c>
      <c r="E26" s="19">
        <v>279.09999999999991</v>
      </c>
      <c r="F26" s="20">
        <f t="shared" si="1"/>
        <v>0.14224292368326705</v>
      </c>
      <c r="G26" s="21">
        <v>52</v>
      </c>
      <c r="H26" s="22">
        <v>5</v>
      </c>
      <c r="I26" s="22">
        <f t="shared" si="2"/>
        <v>10.4</v>
      </c>
      <c r="J26" s="22">
        <v>3</v>
      </c>
      <c r="K26" s="20" t="s">
        <v>18</v>
      </c>
      <c r="L26" s="19">
        <v>8215.17</v>
      </c>
      <c r="M26" s="21">
        <v>1376</v>
      </c>
      <c r="N26" s="23">
        <v>45121</v>
      </c>
      <c r="O26" s="30" t="s">
        <v>117</v>
      </c>
      <c r="P26" s="77"/>
    </row>
    <row r="27" spans="1:16" s="27" customFormat="1" ht="25.9" customHeight="1" x14ac:dyDescent="0.2">
      <c r="A27" s="22">
        <v>25</v>
      </c>
      <c r="B27" s="22">
        <v>32</v>
      </c>
      <c r="C27" s="18" t="s">
        <v>36</v>
      </c>
      <c r="D27" s="19">
        <v>229</v>
      </c>
      <c r="E27" s="19">
        <v>154.80000000000001</v>
      </c>
      <c r="F27" s="20">
        <f t="shared" si="1"/>
        <v>0.47932816537467687</v>
      </c>
      <c r="G27" s="21">
        <v>33</v>
      </c>
      <c r="H27" s="22">
        <v>4</v>
      </c>
      <c r="I27" s="22">
        <f t="shared" si="2"/>
        <v>8.25</v>
      </c>
      <c r="J27" s="22">
        <v>1</v>
      </c>
      <c r="K27" s="22">
        <v>29</v>
      </c>
      <c r="L27" s="19">
        <v>243406.33000000007</v>
      </c>
      <c r="M27" s="21">
        <v>38122</v>
      </c>
      <c r="N27" s="23">
        <v>44988</v>
      </c>
      <c r="O27" s="30" t="s">
        <v>39</v>
      </c>
      <c r="P27" s="77"/>
    </row>
    <row r="28" spans="1:16" s="27" customFormat="1" ht="25.9" customHeight="1" x14ac:dyDescent="0.2">
      <c r="A28" s="22">
        <v>26</v>
      </c>
      <c r="B28" s="22">
        <v>30</v>
      </c>
      <c r="C28" s="18" t="s">
        <v>260</v>
      </c>
      <c r="D28" s="19">
        <v>215.3</v>
      </c>
      <c r="E28" s="19">
        <v>173.2</v>
      </c>
      <c r="F28" s="20">
        <f t="shared" si="1"/>
        <v>0.24307159353348745</v>
      </c>
      <c r="G28" s="21">
        <v>41</v>
      </c>
      <c r="H28" s="22">
        <v>5</v>
      </c>
      <c r="I28" s="22">
        <f t="shared" si="2"/>
        <v>8.1999999999999993</v>
      </c>
      <c r="J28" s="22">
        <v>3</v>
      </c>
      <c r="K28" s="22">
        <v>5</v>
      </c>
      <c r="L28" s="19">
        <v>2160.1</v>
      </c>
      <c r="M28" s="21">
        <v>401</v>
      </c>
      <c r="N28" s="23">
        <v>45156</v>
      </c>
      <c r="O28" s="30" t="s">
        <v>68</v>
      </c>
      <c r="P28" s="77"/>
    </row>
    <row r="29" spans="1:16" s="27" customFormat="1" ht="25.9" customHeight="1" x14ac:dyDescent="0.2">
      <c r="A29" s="22">
        <v>27</v>
      </c>
      <c r="B29" s="22">
        <v>29</v>
      </c>
      <c r="C29" s="18" t="s">
        <v>142</v>
      </c>
      <c r="D29" s="19">
        <v>155.80000000000001</v>
      </c>
      <c r="E29" s="19">
        <v>186.6</v>
      </c>
      <c r="F29" s="20">
        <f t="shared" si="1"/>
        <v>-0.16505894962486595</v>
      </c>
      <c r="G29" s="21">
        <v>27</v>
      </c>
      <c r="H29" s="22">
        <v>2</v>
      </c>
      <c r="I29" s="22">
        <f t="shared" si="2"/>
        <v>13.5</v>
      </c>
      <c r="J29" s="22">
        <v>2</v>
      </c>
      <c r="K29" s="20" t="s">
        <v>18</v>
      </c>
      <c r="L29" s="19">
        <v>9669.4</v>
      </c>
      <c r="M29" s="21">
        <v>1686</v>
      </c>
      <c r="N29" s="23">
        <v>45065</v>
      </c>
      <c r="O29" s="30" t="s">
        <v>40</v>
      </c>
      <c r="P29" s="77"/>
    </row>
    <row r="30" spans="1:16" s="27" customFormat="1" ht="25.5" customHeight="1" x14ac:dyDescent="0.2">
      <c r="A30" s="22">
        <v>28</v>
      </c>
      <c r="B30" s="22">
        <v>28</v>
      </c>
      <c r="C30" s="18" t="s">
        <v>146</v>
      </c>
      <c r="D30" s="19">
        <v>142.30000000000001</v>
      </c>
      <c r="E30" s="19">
        <v>191.7</v>
      </c>
      <c r="F30" s="20">
        <f t="shared" si="1"/>
        <v>-0.25769431403234211</v>
      </c>
      <c r="G30" s="21">
        <v>20</v>
      </c>
      <c r="H30" s="22">
        <v>2</v>
      </c>
      <c r="I30" s="22">
        <f t="shared" si="2"/>
        <v>10</v>
      </c>
      <c r="J30" s="22">
        <v>2</v>
      </c>
      <c r="K30" s="22">
        <v>16</v>
      </c>
      <c r="L30" s="19">
        <v>10285.500000000002</v>
      </c>
      <c r="M30" s="21">
        <v>1571</v>
      </c>
      <c r="N30" s="23">
        <v>45079</v>
      </c>
      <c r="O30" s="30" t="s">
        <v>16</v>
      </c>
      <c r="P30" s="77"/>
    </row>
    <row r="31" spans="1:16" s="27" customFormat="1" ht="25.9" customHeight="1" x14ac:dyDescent="0.2">
      <c r="A31" s="22">
        <v>29</v>
      </c>
      <c r="B31" s="22">
        <v>25</v>
      </c>
      <c r="C31" s="18" t="s">
        <v>275</v>
      </c>
      <c r="D31" s="19">
        <v>136.9</v>
      </c>
      <c r="E31" s="19">
        <v>320.60000000000002</v>
      </c>
      <c r="F31" s="20">
        <f t="shared" si="1"/>
        <v>-0.57298814722395508</v>
      </c>
      <c r="G31" s="21">
        <v>17</v>
      </c>
      <c r="H31" s="22">
        <v>4</v>
      </c>
      <c r="I31" s="22">
        <f t="shared" si="2"/>
        <v>4.25</v>
      </c>
      <c r="J31" s="22">
        <v>3</v>
      </c>
      <c r="K31" s="22">
        <v>4</v>
      </c>
      <c r="L31" s="19">
        <v>2051.9699999999998</v>
      </c>
      <c r="M31" s="21">
        <v>383</v>
      </c>
      <c r="N31" s="23">
        <v>45163</v>
      </c>
      <c r="O31" s="30" t="s">
        <v>276</v>
      </c>
      <c r="P31" s="77"/>
    </row>
    <row r="32" spans="1:16" s="27" customFormat="1" ht="25.5" customHeight="1" x14ac:dyDescent="0.2">
      <c r="A32" s="22">
        <v>30</v>
      </c>
      <c r="B32" s="22">
        <v>35</v>
      </c>
      <c r="C32" s="18" t="s">
        <v>248</v>
      </c>
      <c r="D32" s="19">
        <v>104</v>
      </c>
      <c r="E32" s="19">
        <v>37</v>
      </c>
      <c r="F32" s="20">
        <f t="shared" si="1"/>
        <v>1.8108108108108107</v>
      </c>
      <c r="G32" s="21">
        <v>29</v>
      </c>
      <c r="H32" s="22">
        <v>3</v>
      </c>
      <c r="I32" s="22">
        <f t="shared" si="2"/>
        <v>9.6666666666666661</v>
      </c>
      <c r="J32" s="22">
        <v>2</v>
      </c>
      <c r="K32" s="22">
        <v>5</v>
      </c>
      <c r="L32" s="19">
        <v>16235.83</v>
      </c>
      <c r="M32" s="21">
        <v>3542</v>
      </c>
      <c r="N32" s="23">
        <v>45156</v>
      </c>
      <c r="O32" s="30" t="s">
        <v>13</v>
      </c>
      <c r="P32" s="77"/>
    </row>
    <row r="33" spans="1:16383" s="27" customFormat="1" ht="25.5" customHeight="1" x14ac:dyDescent="0.2">
      <c r="A33" s="22">
        <v>31</v>
      </c>
      <c r="B33" s="20" t="s">
        <v>18</v>
      </c>
      <c r="C33" s="18" t="s">
        <v>37</v>
      </c>
      <c r="D33" s="19">
        <v>100</v>
      </c>
      <c r="E33" s="20" t="s">
        <v>18</v>
      </c>
      <c r="F33" s="20" t="s">
        <v>18</v>
      </c>
      <c r="G33" s="21">
        <v>19</v>
      </c>
      <c r="H33" s="22">
        <v>1</v>
      </c>
      <c r="I33" s="22">
        <f t="shared" si="2"/>
        <v>19</v>
      </c>
      <c r="J33" s="22">
        <v>1</v>
      </c>
      <c r="K33" s="22" t="s">
        <v>18</v>
      </c>
      <c r="L33" s="19">
        <v>282345.03999999998</v>
      </c>
      <c r="M33" s="21">
        <v>47689</v>
      </c>
      <c r="N33" s="23">
        <v>44973</v>
      </c>
      <c r="O33" s="35" t="s">
        <v>13</v>
      </c>
      <c r="P33" s="77"/>
    </row>
    <row r="34" spans="1:16383" s="27" customFormat="1" ht="25.5" customHeight="1" x14ac:dyDescent="0.2">
      <c r="A34" s="22">
        <v>32</v>
      </c>
      <c r="B34" s="22">
        <v>18</v>
      </c>
      <c r="C34" s="18" t="s">
        <v>198</v>
      </c>
      <c r="D34" s="19">
        <v>60</v>
      </c>
      <c r="E34" s="19">
        <v>1054.79</v>
      </c>
      <c r="F34" s="20">
        <f>(D34-E34)/E34</f>
        <v>-0.94311663933105172</v>
      </c>
      <c r="G34" s="21">
        <v>15</v>
      </c>
      <c r="H34" s="22">
        <v>1</v>
      </c>
      <c r="I34" s="22">
        <f t="shared" si="2"/>
        <v>15</v>
      </c>
      <c r="J34" s="22">
        <v>1</v>
      </c>
      <c r="K34" s="22">
        <v>10</v>
      </c>
      <c r="L34" s="19">
        <v>205588.61</v>
      </c>
      <c r="M34" s="21">
        <v>41768</v>
      </c>
      <c r="N34" s="23">
        <v>45121</v>
      </c>
      <c r="O34" s="30" t="s">
        <v>13</v>
      </c>
      <c r="P34" s="77"/>
    </row>
    <row r="35" spans="1:16383" s="27" customFormat="1" ht="25.5" customHeight="1" x14ac:dyDescent="0.2">
      <c r="A35" s="22">
        <v>33</v>
      </c>
      <c r="B35" s="22">
        <v>34</v>
      </c>
      <c r="C35" s="18" t="s">
        <v>250</v>
      </c>
      <c r="D35" s="19">
        <v>44</v>
      </c>
      <c r="E35" s="19">
        <v>40</v>
      </c>
      <c r="F35" s="20">
        <f>(D35-E35)/E35</f>
        <v>0.1</v>
      </c>
      <c r="G35" s="21">
        <v>11</v>
      </c>
      <c r="H35" s="22">
        <v>2</v>
      </c>
      <c r="I35" s="22">
        <f t="shared" si="2"/>
        <v>5.5</v>
      </c>
      <c r="J35" s="22">
        <v>2</v>
      </c>
      <c r="K35" s="22">
        <v>6</v>
      </c>
      <c r="L35" s="19">
        <v>13228.6</v>
      </c>
      <c r="M35" s="21">
        <v>2789</v>
      </c>
      <c r="N35" s="23">
        <v>45149</v>
      </c>
      <c r="O35" s="30" t="s">
        <v>64</v>
      </c>
      <c r="P35" s="77"/>
    </row>
    <row r="36" spans="1:16383" s="27" customFormat="1" ht="25.5" customHeight="1" x14ac:dyDescent="0.2">
      <c r="A36" s="22">
        <v>34</v>
      </c>
      <c r="B36" s="22">
        <v>16</v>
      </c>
      <c r="C36" s="18" t="s">
        <v>282</v>
      </c>
      <c r="D36" s="19">
        <v>18</v>
      </c>
      <c r="E36" s="19">
        <v>1968.87</v>
      </c>
      <c r="F36" s="20">
        <f>(D36-E36)/E36</f>
        <v>-0.99085770010208907</v>
      </c>
      <c r="G36" s="21">
        <v>5</v>
      </c>
      <c r="H36" s="22">
        <v>2</v>
      </c>
      <c r="I36" s="22">
        <f t="shared" si="2"/>
        <v>2.5</v>
      </c>
      <c r="J36" s="22">
        <v>1</v>
      </c>
      <c r="K36" s="22">
        <v>3</v>
      </c>
      <c r="L36" s="19">
        <v>10469.25</v>
      </c>
      <c r="M36" s="21">
        <v>1736</v>
      </c>
      <c r="N36" s="23">
        <v>45170</v>
      </c>
      <c r="O36" s="30" t="s">
        <v>170</v>
      </c>
      <c r="P36" s="77"/>
    </row>
    <row r="37" spans="1:16383" s="27" customFormat="1" ht="25.5" customHeight="1" x14ac:dyDescent="0.2">
      <c r="A37" s="22">
        <v>35</v>
      </c>
      <c r="B37" s="22">
        <v>36</v>
      </c>
      <c r="C37" s="18" t="s">
        <v>284</v>
      </c>
      <c r="D37" s="19">
        <v>3</v>
      </c>
      <c r="E37" s="19">
        <v>27</v>
      </c>
      <c r="F37" s="20">
        <f>(D37-E37)/E37</f>
        <v>-0.88888888888888884</v>
      </c>
      <c r="G37" s="21">
        <v>1</v>
      </c>
      <c r="H37" s="20" t="s">
        <v>18</v>
      </c>
      <c r="I37" s="20" t="s">
        <v>18</v>
      </c>
      <c r="J37" s="20" t="s">
        <v>18</v>
      </c>
      <c r="K37" s="22">
        <v>3</v>
      </c>
      <c r="L37" s="19">
        <v>371</v>
      </c>
      <c r="M37" s="21">
        <v>73</v>
      </c>
      <c r="N37" s="23">
        <v>45170</v>
      </c>
      <c r="O37" s="30" t="s">
        <v>30</v>
      </c>
      <c r="P37" s="77"/>
    </row>
    <row r="38" spans="1:16383" s="45" customFormat="1" ht="25.9" customHeight="1" x14ac:dyDescent="0.2">
      <c r="A38" s="67"/>
      <c r="B38" s="67"/>
      <c r="C38" s="46" t="s">
        <v>210</v>
      </c>
      <c r="D38" s="47">
        <f>SUBTOTAL(109,Table132458791011121314151617181920212223[Pajamos 
(GBO)])</f>
        <v>255829.72999999989</v>
      </c>
      <c r="E38" s="47" t="s">
        <v>295</v>
      </c>
      <c r="F38" s="42">
        <f t="shared" ref="F38" si="3">(D38-E38)/E38</f>
        <v>0.11629757785467082</v>
      </c>
      <c r="G38" s="43">
        <f>SUBTOTAL(109,Table132458791011121314151617181920212223[Žiūrovų sk. 
(ADM)])</f>
        <v>39319</v>
      </c>
      <c r="H38" s="51"/>
      <c r="I38" s="51"/>
      <c r="J38" s="51"/>
      <c r="K38" s="46"/>
      <c r="L38" s="53"/>
      <c r="M38" s="55"/>
      <c r="N38" s="60"/>
      <c r="O38" s="80"/>
    </row>
    <row r="39" spans="1:16383" ht="11.25" hidden="1" x14ac:dyDescent="0.15">
      <c r="A39" s="38"/>
      <c r="B39" s="38"/>
      <c r="K39" s="1"/>
    </row>
    <row r="40" spans="1:16383" ht="11.25" hidden="1" x14ac:dyDescent="0.15">
      <c r="A40" s="38"/>
      <c r="B40" s="38"/>
      <c r="K40" s="1"/>
    </row>
    <row r="41" spans="1:16383" ht="11.25" hidden="1" x14ac:dyDescent="0.15">
      <c r="A41" s="38"/>
      <c r="B41" s="38"/>
      <c r="K41" s="1"/>
    </row>
    <row r="42" spans="1:16383" ht="11.25" hidden="1" x14ac:dyDescent="0.15">
      <c r="A42" s="38"/>
      <c r="B42" s="38"/>
      <c r="K42" s="1"/>
    </row>
    <row r="43" spans="1:16383" ht="11.25" hidden="1" x14ac:dyDescent="0.15">
      <c r="A43" s="38"/>
      <c r="B43" s="38"/>
      <c r="K43" s="1"/>
    </row>
    <row r="44" spans="1:16383" ht="11.25" hidden="1" x14ac:dyDescent="0.15">
      <c r="A44" s="38"/>
      <c r="B44" s="38"/>
      <c r="K44" s="1"/>
    </row>
    <row r="45" spans="1:16383" s="37" customFormat="1" ht="11.25" hidden="1" x14ac:dyDescent="0.15">
      <c r="A45" s="38"/>
      <c r="B45" s="38"/>
      <c r="C45" s="1"/>
      <c r="F45" s="58"/>
      <c r="G45" s="56"/>
      <c r="H45" s="38"/>
      <c r="I45" s="38"/>
      <c r="J45" s="38"/>
      <c r="K45" s="1"/>
      <c r="M45" s="56"/>
      <c r="N45" s="39"/>
      <c r="O45" s="8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  <c r="XFA45" s="1"/>
      <c r="XFB45" s="1"/>
      <c r="XFC45" s="1"/>
    </row>
    <row r="46" spans="1:16383" s="37" customFormat="1" ht="11.25" hidden="1" x14ac:dyDescent="0.15">
      <c r="A46" s="38"/>
      <c r="B46" s="38"/>
      <c r="C46" s="1"/>
      <c r="F46" s="58"/>
      <c r="G46" s="56"/>
      <c r="H46" s="38"/>
      <c r="I46" s="38"/>
      <c r="J46" s="38"/>
      <c r="K46" s="1"/>
      <c r="M46" s="56"/>
      <c r="N46" s="39"/>
      <c r="O46" s="8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  <c r="XFA46" s="1"/>
      <c r="XFB46" s="1"/>
      <c r="XFC46" s="1"/>
    </row>
    <row r="47" spans="1:16383" s="37" customFormat="1" ht="11.25" hidden="1" x14ac:dyDescent="0.15">
      <c r="A47" s="38"/>
      <c r="B47" s="38"/>
      <c r="C47" s="1"/>
      <c r="F47" s="58"/>
      <c r="G47" s="56"/>
      <c r="H47" s="38"/>
      <c r="I47" s="38"/>
      <c r="J47" s="38"/>
      <c r="K47" s="1"/>
      <c r="M47" s="56"/>
      <c r="N47" s="39"/>
      <c r="O47" s="8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  <c r="XFC47" s="1"/>
    </row>
    <row r="48" spans="1:16383" s="37" customFormat="1" ht="11.25" hidden="1" x14ac:dyDescent="0.15">
      <c r="A48" s="38"/>
      <c r="B48" s="38"/>
      <c r="C48" s="1"/>
      <c r="F48" s="58"/>
      <c r="G48" s="56"/>
      <c r="H48" s="38"/>
      <c r="I48" s="38"/>
      <c r="J48" s="38"/>
      <c r="K48" s="1"/>
      <c r="M48" s="56"/>
      <c r="N48" s="39"/>
      <c r="O48" s="8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</row>
    <row r="49" spans="1:16383" s="37" customFormat="1" ht="11.25" hidden="1" x14ac:dyDescent="0.15">
      <c r="A49" s="38"/>
      <c r="B49" s="38"/>
      <c r="C49" s="1"/>
      <c r="F49" s="58"/>
      <c r="G49" s="56"/>
      <c r="H49" s="38"/>
      <c r="I49" s="38"/>
      <c r="J49" s="38"/>
      <c r="K49" s="1"/>
      <c r="M49" s="56"/>
      <c r="N49" s="39"/>
      <c r="O49" s="8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  <row r="50" spans="1:16383" s="37" customFormat="1" ht="11.25" hidden="1" x14ac:dyDescent="0.15">
      <c r="A50" s="38"/>
      <c r="B50" s="38"/>
      <c r="C50" s="1"/>
      <c r="F50" s="58"/>
      <c r="G50" s="56"/>
      <c r="H50" s="38"/>
      <c r="I50" s="38"/>
      <c r="J50" s="38"/>
      <c r="K50" s="1"/>
      <c r="M50" s="56"/>
      <c r="N50" s="39"/>
      <c r="O50" s="8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72EE4-273B-441B-A27C-81CA49ABE110}">
  <dimension ref="A1:XFC52"/>
  <sheetViews>
    <sheetView topLeftCell="A4" zoomScale="60" zoomScaleNormal="60" workbookViewId="0">
      <selection activeCell="C33" sqref="C33:O33"/>
    </sheetView>
  </sheetViews>
  <sheetFormatPr defaultColWidth="0" defaultRowHeight="0" customHeight="1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8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287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50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22">
        <v>1</v>
      </c>
      <c r="B3" s="22" t="s">
        <v>31</v>
      </c>
      <c r="C3" s="18" t="s">
        <v>283</v>
      </c>
      <c r="D3" s="19">
        <v>80921.539999999994</v>
      </c>
      <c r="E3" s="20" t="s">
        <v>18</v>
      </c>
      <c r="F3" s="20" t="s">
        <v>18</v>
      </c>
      <c r="G3" s="21">
        <v>10959</v>
      </c>
      <c r="H3" s="22">
        <v>243</v>
      </c>
      <c r="I3" s="22">
        <f t="shared" ref="I3:I8" si="0">G3/H3</f>
        <v>45.098765432098766</v>
      </c>
      <c r="J3" s="22">
        <v>14</v>
      </c>
      <c r="K3" s="22">
        <v>1</v>
      </c>
      <c r="L3" s="19">
        <v>87727.05</v>
      </c>
      <c r="M3" s="21">
        <v>11817</v>
      </c>
      <c r="N3" s="23">
        <v>45177</v>
      </c>
      <c r="O3" s="30" t="s">
        <v>14</v>
      </c>
    </row>
    <row r="4" spans="1:18" s="24" customFormat="1" ht="25.9" customHeight="1" x14ac:dyDescent="0.2">
      <c r="A4" s="22">
        <v>2</v>
      </c>
      <c r="B4" s="22">
        <v>3</v>
      </c>
      <c r="C4" s="18" t="s">
        <v>222</v>
      </c>
      <c r="D4" s="19">
        <v>19419.23</v>
      </c>
      <c r="E4" s="19">
        <v>29030.01</v>
      </c>
      <c r="F4" s="20">
        <f>(D4-E4)/E4</f>
        <v>-0.33106361313688831</v>
      </c>
      <c r="G4" s="21">
        <v>3019</v>
      </c>
      <c r="H4" s="22">
        <v>137</v>
      </c>
      <c r="I4" s="22">
        <f t="shared" si="0"/>
        <v>22.036496350364963</v>
      </c>
      <c r="J4" s="22">
        <v>11</v>
      </c>
      <c r="K4" s="22">
        <v>8</v>
      </c>
      <c r="L4" s="19">
        <v>1015290.9</v>
      </c>
      <c r="M4" s="21">
        <v>142384</v>
      </c>
      <c r="N4" s="23">
        <v>45128</v>
      </c>
      <c r="O4" s="30" t="s">
        <v>179</v>
      </c>
    </row>
    <row r="5" spans="1:18" s="24" customFormat="1" ht="25.9" customHeight="1" x14ac:dyDescent="0.2">
      <c r="A5" s="22">
        <v>3</v>
      </c>
      <c r="B5" s="22">
        <v>2</v>
      </c>
      <c r="C5" s="18" t="s">
        <v>271</v>
      </c>
      <c r="D5" s="19">
        <v>16434.080000000002</v>
      </c>
      <c r="E5" s="19">
        <v>31457.73</v>
      </c>
      <c r="F5" s="20">
        <f>(D5-E5)/E5</f>
        <v>-0.47758213958858436</v>
      </c>
      <c r="G5" s="21">
        <v>2522</v>
      </c>
      <c r="H5" s="22">
        <v>147</v>
      </c>
      <c r="I5" s="22">
        <f t="shared" si="0"/>
        <v>17.156462585034014</v>
      </c>
      <c r="J5" s="22">
        <v>13</v>
      </c>
      <c r="K5" s="22">
        <v>2</v>
      </c>
      <c r="L5" s="19">
        <v>51084.28</v>
      </c>
      <c r="M5" s="21">
        <v>7261</v>
      </c>
      <c r="N5" s="23">
        <v>45170</v>
      </c>
      <c r="O5" s="30" t="s">
        <v>12</v>
      </c>
      <c r="R5" s="17"/>
    </row>
    <row r="6" spans="1:18" s="24" customFormat="1" ht="25.9" customHeight="1" x14ac:dyDescent="0.2">
      <c r="A6" s="22">
        <v>4</v>
      </c>
      <c r="B6" s="22">
        <v>4</v>
      </c>
      <c r="C6" s="18" t="s">
        <v>213</v>
      </c>
      <c r="D6" s="19">
        <v>14582.08</v>
      </c>
      <c r="E6" s="19">
        <v>26219.84</v>
      </c>
      <c r="F6" s="20">
        <f>(D6-E6)/E6</f>
        <v>-0.4438532042911017</v>
      </c>
      <c r="G6" s="21">
        <v>2340</v>
      </c>
      <c r="H6" s="22">
        <v>169</v>
      </c>
      <c r="I6" s="22">
        <f t="shared" si="0"/>
        <v>13.846153846153847</v>
      </c>
      <c r="J6" s="22">
        <v>10</v>
      </c>
      <c r="K6" s="22">
        <v>8</v>
      </c>
      <c r="L6" s="19">
        <v>1136562.78</v>
      </c>
      <c r="M6" s="21">
        <v>172869</v>
      </c>
      <c r="N6" s="23">
        <v>45128</v>
      </c>
      <c r="O6" s="30" t="s">
        <v>14</v>
      </c>
      <c r="R6" s="17"/>
    </row>
    <row r="7" spans="1:18" s="24" customFormat="1" ht="25.9" customHeight="1" x14ac:dyDescent="0.2">
      <c r="A7" s="22">
        <v>5</v>
      </c>
      <c r="B7" s="22">
        <v>6</v>
      </c>
      <c r="C7" s="18" t="s">
        <v>239</v>
      </c>
      <c r="D7" s="19">
        <v>13635.97</v>
      </c>
      <c r="E7" s="19">
        <v>20441.18</v>
      </c>
      <c r="F7" s="20">
        <f>(D7-E7)/E7</f>
        <v>-0.33291669071942037</v>
      </c>
      <c r="G7" s="21">
        <v>2295</v>
      </c>
      <c r="H7" s="22">
        <v>99</v>
      </c>
      <c r="I7" s="22">
        <f t="shared" si="0"/>
        <v>23.181818181818183</v>
      </c>
      <c r="J7" s="22">
        <v>8</v>
      </c>
      <c r="K7" s="22">
        <v>5</v>
      </c>
      <c r="L7" s="19">
        <v>197398.86</v>
      </c>
      <c r="M7" s="21">
        <v>31356</v>
      </c>
      <c r="N7" s="23">
        <v>45149</v>
      </c>
      <c r="O7" s="30" t="s">
        <v>12</v>
      </c>
      <c r="R7" s="17"/>
    </row>
    <row r="8" spans="1:18" s="24" customFormat="1" ht="25.9" customHeight="1" x14ac:dyDescent="0.2">
      <c r="A8" s="22">
        <v>6</v>
      </c>
      <c r="B8" s="22">
        <v>1</v>
      </c>
      <c r="C8" s="18" t="s">
        <v>274</v>
      </c>
      <c r="D8" s="19">
        <v>13506.11</v>
      </c>
      <c r="E8" s="19">
        <v>34635.33</v>
      </c>
      <c r="F8" s="20">
        <f>(D8-E8)/E8</f>
        <v>-0.6100481791280753</v>
      </c>
      <c r="G8" s="21">
        <v>2529</v>
      </c>
      <c r="H8" s="22">
        <v>207</v>
      </c>
      <c r="I8" s="22">
        <f t="shared" si="0"/>
        <v>12.217391304347826</v>
      </c>
      <c r="J8" s="22">
        <v>18</v>
      </c>
      <c r="K8" s="22">
        <v>3</v>
      </c>
      <c r="L8" s="19">
        <v>85929.31</v>
      </c>
      <c r="M8" s="21">
        <v>17614</v>
      </c>
      <c r="N8" s="23">
        <v>45163</v>
      </c>
      <c r="O8" s="30" t="s">
        <v>16</v>
      </c>
      <c r="R8" s="17"/>
    </row>
    <row r="9" spans="1:18" s="24" customFormat="1" ht="25.9" customHeight="1" x14ac:dyDescent="0.2">
      <c r="A9" s="22">
        <v>7</v>
      </c>
      <c r="B9" s="22" t="s">
        <v>57</v>
      </c>
      <c r="C9" s="18" t="s">
        <v>290</v>
      </c>
      <c r="D9" s="19">
        <v>11220</v>
      </c>
      <c r="E9" s="20" t="s">
        <v>18</v>
      </c>
      <c r="F9" s="20" t="s">
        <v>18</v>
      </c>
      <c r="G9" s="21">
        <v>1242</v>
      </c>
      <c r="H9" s="20" t="s">
        <v>18</v>
      </c>
      <c r="I9" s="20" t="s">
        <v>18</v>
      </c>
      <c r="J9" s="22">
        <v>4</v>
      </c>
      <c r="K9" s="22">
        <v>0</v>
      </c>
      <c r="L9" s="19">
        <v>11220</v>
      </c>
      <c r="M9" s="21">
        <v>1242</v>
      </c>
      <c r="N9" s="23" t="s">
        <v>59</v>
      </c>
      <c r="O9" s="30" t="s">
        <v>15</v>
      </c>
      <c r="R9" s="17"/>
    </row>
    <row r="10" spans="1:18" s="24" customFormat="1" ht="25.5" customHeight="1" x14ac:dyDescent="0.2">
      <c r="A10" s="22">
        <v>8</v>
      </c>
      <c r="B10" s="22">
        <v>5</v>
      </c>
      <c r="C10" s="18" t="s">
        <v>280</v>
      </c>
      <c r="D10" s="19">
        <v>8888.5</v>
      </c>
      <c r="E10" s="19">
        <v>24416</v>
      </c>
      <c r="F10" s="20">
        <f>(D10-E10)/E10</f>
        <v>-0.63595593053735255</v>
      </c>
      <c r="G10" s="21">
        <v>1807</v>
      </c>
      <c r="H10" s="22" t="s">
        <v>18</v>
      </c>
      <c r="I10" s="22" t="s">
        <v>18</v>
      </c>
      <c r="J10" s="22">
        <v>14</v>
      </c>
      <c r="K10" s="22">
        <v>2</v>
      </c>
      <c r="L10" s="19">
        <v>33304</v>
      </c>
      <c r="M10" s="21">
        <v>6972</v>
      </c>
      <c r="N10" s="23">
        <v>45170</v>
      </c>
      <c r="O10" s="30" t="s">
        <v>15</v>
      </c>
      <c r="R10" s="17"/>
    </row>
    <row r="11" spans="1:18" s="24" customFormat="1" ht="25.9" customHeight="1" x14ac:dyDescent="0.2">
      <c r="A11" s="22">
        <v>9</v>
      </c>
      <c r="B11" s="22">
        <v>7</v>
      </c>
      <c r="C11" s="18" t="s">
        <v>272</v>
      </c>
      <c r="D11" s="19">
        <v>8113</v>
      </c>
      <c r="E11" s="19">
        <v>18028</v>
      </c>
      <c r="F11" s="20">
        <f>(D11-E11)/E11</f>
        <v>-0.54997781229199028</v>
      </c>
      <c r="G11" s="21">
        <v>1230</v>
      </c>
      <c r="H11" s="22" t="s">
        <v>18</v>
      </c>
      <c r="I11" s="22" t="s">
        <v>18</v>
      </c>
      <c r="J11" s="22">
        <v>8</v>
      </c>
      <c r="K11" s="22">
        <v>3</v>
      </c>
      <c r="L11" s="19">
        <v>62724</v>
      </c>
      <c r="M11" s="21">
        <v>9837</v>
      </c>
      <c r="N11" s="23">
        <v>45132</v>
      </c>
      <c r="O11" s="30" t="s">
        <v>15</v>
      </c>
      <c r="R11" s="17"/>
    </row>
    <row r="12" spans="1:18" s="24" customFormat="1" ht="25.9" customHeight="1" x14ac:dyDescent="0.2">
      <c r="A12" s="22">
        <v>10</v>
      </c>
      <c r="B12" s="22">
        <v>8</v>
      </c>
      <c r="C12" s="18" t="s">
        <v>181</v>
      </c>
      <c r="D12" s="19">
        <v>7401.15</v>
      </c>
      <c r="E12" s="19">
        <v>16229.57</v>
      </c>
      <c r="F12" s="20">
        <f>(D12-E12)/E12</f>
        <v>-0.54397128204875422</v>
      </c>
      <c r="G12" s="21">
        <v>1369</v>
      </c>
      <c r="H12" s="22">
        <v>84</v>
      </c>
      <c r="I12" s="22">
        <f>G12/H12</f>
        <v>16.297619047619047</v>
      </c>
      <c r="J12" s="22">
        <v>8</v>
      </c>
      <c r="K12" s="22">
        <v>13</v>
      </c>
      <c r="L12" s="19">
        <v>488904.56</v>
      </c>
      <c r="M12" s="21">
        <v>96608</v>
      </c>
      <c r="N12" s="23">
        <v>45093</v>
      </c>
      <c r="O12" s="30" t="s">
        <v>40</v>
      </c>
      <c r="R12" s="17"/>
    </row>
    <row r="13" spans="1:18" s="27" customFormat="1" ht="25.9" customHeight="1" x14ac:dyDescent="0.15">
      <c r="A13" s="22">
        <v>11</v>
      </c>
      <c r="B13" s="22">
        <v>9</v>
      </c>
      <c r="C13" s="18" t="s">
        <v>281</v>
      </c>
      <c r="D13" s="19">
        <v>6143.5</v>
      </c>
      <c r="E13" s="19">
        <v>14149</v>
      </c>
      <c r="F13" s="20">
        <f>(D13-E13)/E13</f>
        <v>-0.56579970315923389</v>
      </c>
      <c r="G13" s="21">
        <v>931</v>
      </c>
      <c r="H13" s="22" t="s">
        <v>18</v>
      </c>
      <c r="I13" s="22" t="s">
        <v>18</v>
      </c>
      <c r="J13" s="22">
        <v>7</v>
      </c>
      <c r="K13" s="22">
        <v>2</v>
      </c>
      <c r="L13" s="19">
        <v>20293</v>
      </c>
      <c r="M13" s="21">
        <v>3065</v>
      </c>
      <c r="N13" s="23">
        <v>45170</v>
      </c>
      <c r="O13" s="30" t="s">
        <v>15</v>
      </c>
    </row>
    <row r="14" spans="1:18" s="27" customFormat="1" ht="25.9" customHeight="1" x14ac:dyDescent="0.15">
      <c r="A14" s="22">
        <v>12</v>
      </c>
      <c r="B14" s="22" t="s">
        <v>57</v>
      </c>
      <c r="C14" s="18" t="s">
        <v>291</v>
      </c>
      <c r="D14" s="74">
        <v>5772</v>
      </c>
      <c r="E14" s="20" t="s">
        <v>18</v>
      </c>
      <c r="F14" s="20" t="s">
        <v>18</v>
      </c>
      <c r="G14" s="73">
        <v>1029</v>
      </c>
      <c r="H14" s="75">
        <v>17</v>
      </c>
      <c r="I14" s="22">
        <f>G14/H14</f>
        <v>60.529411764705884</v>
      </c>
      <c r="J14" s="75">
        <v>10</v>
      </c>
      <c r="K14" s="75">
        <v>0</v>
      </c>
      <c r="L14" s="74">
        <v>5772</v>
      </c>
      <c r="M14" s="73">
        <v>1029</v>
      </c>
      <c r="N14" s="23" t="s">
        <v>59</v>
      </c>
      <c r="O14" s="31" t="s">
        <v>13</v>
      </c>
    </row>
    <row r="15" spans="1:18" s="27" customFormat="1" ht="25.9" customHeight="1" x14ac:dyDescent="0.2">
      <c r="A15" s="22">
        <v>13</v>
      </c>
      <c r="B15" s="22" t="s">
        <v>31</v>
      </c>
      <c r="C15" s="18" t="s">
        <v>289</v>
      </c>
      <c r="D15" s="74">
        <v>5383</v>
      </c>
      <c r="E15" s="20" t="s">
        <v>18</v>
      </c>
      <c r="F15" s="20" t="s">
        <v>18</v>
      </c>
      <c r="G15" s="73">
        <v>943</v>
      </c>
      <c r="H15" s="20" t="s">
        <v>18</v>
      </c>
      <c r="I15" s="20" t="s">
        <v>18</v>
      </c>
      <c r="J15" s="75">
        <v>18</v>
      </c>
      <c r="K15" s="75">
        <v>1</v>
      </c>
      <c r="L15" s="74">
        <v>5383</v>
      </c>
      <c r="M15" s="73">
        <v>943</v>
      </c>
      <c r="N15" s="23">
        <v>45177</v>
      </c>
      <c r="O15" s="30" t="s">
        <v>15</v>
      </c>
      <c r="P15" s="77"/>
    </row>
    <row r="16" spans="1:18" s="27" customFormat="1" ht="25.9" customHeight="1" x14ac:dyDescent="0.2">
      <c r="A16" s="22">
        <v>14</v>
      </c>
      <c r="B16" s="22">
        <v>10</v>
      </c>
      <c r="C16" s="18" t="s">
        <v>264</v>
      </c>
      <c r="D16" s="19">
        <v>4049.26</v>
      </c>
      <c r="E16" s="19">
        <v>10734.66</v>
      </c>
      <c r="F16" s="20">
        <f t="shared" ref="F16:F23" si="1">(D16-E16)/E16</f>
        <v>-0.62278637609388654</v>
      </c>
      <c r="G16" s="21">
        <v>751</v>
      </c>
      <c r="H16" s="22">
        <v>40</v>
      </c>
      <c r="I16" s="22">
        <f t="shared" ref="I16:I39" si="2">G16/H16</f>
        <v>18.774999999999999</v>
      </c>
      <c r="J16" s="22">
        <v>8</v>
      </c>
      <c r="K16" s="22">
        <v>4</v>
      </c>
      <c r="L16" s="19">
        <v>36117.410000000003</v>
      </c>
      <c r="M16" s="21">
        <v>6211</v>
      </c>
      <c r="N16" s="23">
        <v>45156</v>
      </c>
      <c r="O16" s="30" t="s">
        <v>64</v>
      </c>
      <c r="P16" s="77"/>
    </row>
    <row r="17" spans="1:16" s="27" customFormat="1" ht="25.9" customHeight="1" x14ac:dyDescent="0.2">
      <c r="A17" s="22">
        <v>15</v>
      </c>
      <c r="B17" s="22">
        <v>12</v>
      </c>
      <c r="C17" s="18" t="s">
        <v>238</v>
      </c>
      <c r="D17" s="19">
        <v>2829.44</v>
      </c>
      <c r="E17" s="19">
        <v>8430</v>
      </c>
      <c r="F17" s="20">
        <f t="shared" si="1"/>
        <v>-0.66436061684460257</v>
      </c>
      <c r="G17" s="21">
        <v>490</v>
      </c>
      <c r="H17" s="22">
        <v>37</v>
      </c>
      <c r="I17" s="22">
        <f t="shared" si="2"/>
        <v>13.243243243243244</v>
      </c>
      <c r="J17" s="22">
        <v>5</v>
      </c>
      <c r="K17" s="22">
        <v>6</v>
      </c>
      <c r="L17" s="19">
        <v>177418.62</v>
      </c>
      <c r="M17" s="21">
        <v>28583</v>
      </c>
      <c r="N17" s="23">
        <v>45142</v>
      </c>
      <c r="O17" s="30" t="s">
        <v>14</v>
      </c>
      <c r="P17" s="77"/>
    </row>
    <row r="18" spans="1:16" s="27" customFormat="1" ht="25.9" customHeight="1" x14ac:dyDescent="0.2">
      <c r="A18" s="22">
        <v>16</v>
      </c>
      <c r="B18" s="22">
        <v>11</v>
      </c>
      <c r="C18" s="18" t="s">
        <v>282</v>
      </c>
      <c r="D18" s="19">
        <v>1968.87</v>
      </c>
      <c r="E18" s="19">
        <v>8482.3799999999992</v>
      </c>
      <c r="F18" s="20">
        <f t="shared" si="1"/>
        <v>-0.76788707886230045</v>
      </c>
      <c r="G18" s="21">
        <v>371</v>
      </c>
      <c r="H18" s="22">
        <v>41</v>
      </c>
      <c r="I18" s="22">
        <f t="shared" si="2"/>
        <v>9.0487804878048781</v>
      </c>
      <c r="J18" s="22">
        <v>8</v>
      </c>
      <c r="K18" s="22">
        <v>2</v>
      </c>
      <c r="L18" s="19">
        <v>10451.25</v>
      </c>
      <c r="M18" s="21">
        <v>1731</v>
      </c>
      <c r="N18" s="23">
        <v>45170</v>
      </c>
      <c r="O18" s="30" t="s">
        <v>170</v>
      </c>
      <c r="P18" s="77"/>
    </row>
    <row r="19" spans="1:16" s="27" customFormat="1" ht="25.9" customHeight="1" x14ac:dyDescent="0.2">
      <c r="A19" s="22">
        <v>17</v>
      </c>
      <c r="B19" s="22">
        <v>14</v>
      </c>
      <c r="C19" s="18" t="s">
        <v>233</v>
      </c>
      <c r="D19" s="19">
        <v>1592.54</v>
      </c>
      <c r="E19" s="19">
        <v>5544.99</v>
      </c>
      <c r="F19" s="20">
        <f t="shared" si="1"/>
        <v>-0.71279659656735184</v>
      </c>
      <c r="G19" s="21">
        <v>283</v>
      </c>
      <c r="H19" s="22">
        <v>37</v>
      </c>
      <c r="I19" s="22">
        <f t="shared" si="2"/>
        <v>7.6486486486486482</v>
      </c>
      <c r="J19" s="22">
        <v>3</v>
      </c>
      <c r="K19" s="22">
        <v>6</v>
      </c>
      <c r="L19" s="19">
        <v>76528.990000000005</v>
      </c>
      <c r="M19" s="21">
        <v>15133</v>
      </c>
      <c r="N19" s="23">
        <v>45142</v>
      </c>
      <c r="O19" s="30" t="s">
        <v>180</v>
      </c>
      <c r="P19" s="77"/>
    </row>
    <row r="20" spans="1:16" s="27" customFormat="1" ht="25.5" customHeight="1" x14ac:dyDescent="0.2">
      <c r="A20" s="22">
        <v>18</v>
      </c>
      <c r="B20" s="22">
        <v>16</v>
      </c>
      <c r="C20" s="18" t="s">
        <v>198</v>
      </c>
      <c r="D20" s="19">
        <v>1054.79</v>
      </c>
      <c r="E20" s="19">
        <v>3794.78</v>
      </c>
      <c r="F20" s="20">
        <f t="shared" si="1"/>
        <v>-0.72204185749898542</v>
      </c>
      <c r="G20" s="21">
        <v>206</v>
      </c>
      <c r="H20" s="22">
        <v>23</v>
      </c>
      <c r="I20" s="22">
        <f t="shared" si="2"/>
        <v>8.9565217391304355</v>
      </c>
      <c r="J20" s="22">
        <v>5</v>
      </c>
      <c r="K20" s="22">
        <v>9</v>
      </c>
      <c r="L20" s="19">
        <v>205528.61</v>
      </c>
      <c r="M20" s="21">
        <v>41753</v>
      </c>
      <c r="N20" s="23">
        <v>45121</v>
      </c>
      <c r="O20" s="30" t="s">
        <v>13</v>
      </c>
      <c r="P20" s="77"/>
    </row>
    <row r="21" spans="1:16" s="27" customFormat="1" ht="25.9" customHeight="1" x14ac:dyDescent="0.2">
      <c r="A21" s="22">
        <v>19</v>
      </c>
      <c r="B21" s="22">
        <v>23</v>
      </c>
      <c r="C21" s="18" t="s">
        <v>261</v>
      </c>
      <c r="D21" s="19">
        <v>1049.7</v>
      </c>
      <c r="E21" s="19">
        <v>702.4</v>
      </c>
      <c r="F21" s="20">
        <f t="shared" si="1"/>
        <v>0.49444760820045569</v>
      </c>
      <c r="G21" s="21">
        <v>167</v>
      </c>
      <c r="H21" s="22">
        <v>11</v>
      </c>
      <c r="I21" s="22">
        <f t="shared" si="2"/>
        <v>15.181818181818182</v>
      </c>
      <c r="J21" s="22">
        <v>3</v>
      </c>
      <c r="K21" s="22">
        <v>4</v>
      </c>
      <c r="L21" s="19">
        <v>5722</v>
      </c>
      <c r="M21" s="21">
        <v>890</v>
      </c>
      <c r="N21" s="23">
        <v>45156</v>
      </c>
      <c r="O21" s="30" t="s">
        <v>30</v>
      </c>
      <c r="P21" s="77"/>
    </row>
    <row r="22" spans="1:16" s="27" customFormat="1" ht="25.9" customHeight="1" x14ac:dyDescent="0.2">
      <c r="A22" s="22">
        <v>20</v>
      </c>
      <c r="B22" s="22">
        <v>22</v>
      </c>
      <c r="C22" s="18" t="s">
        <v>209</v>
      </c>
      <c r="D22" s="19">
        <v>836.96</v>
      </c>
      <c r="E22" s="19">
        <v>744.84</v>
      </c>
      <c r="F22" s="20">
        <f t="shared" si="1"/>
        <v>0.12367756833682401</v>
      </c>
      <c r="G22" s="21">
        <v>118</v>
      </c>
      <c r="H22" s="22">
        <v>7</v>
      </c>
      <c r="I22" s="22">
        <f t="shared" si="2"/>
        <v>16.857142857142858</v>
      </c>
      <c r="J22" s="22">
        <v>1</v>
      </c>
      <c r="K22" s="22">
        <v>9</v>
      </c>
      <c r="L22" s="19">
        <v>195661.33</v>
      </c>
      <c r="M22" s="21">
        <v>28584</v>
      </c>
      <c r="N22" s="23">
        <v>45121</v>
      </c>
      <c r="O22" s="30" t="s">
        <v>180</v>
      </c>
      <c r="P22" s="77"/>
    </row>
    <row r="23" spans="1:16" s="27" customFormat="1" ht="25.9" customHeight="1" x14ac:dyDescent="0.2">
      <c r="A23" s="22">
        <v>21</v>
      </c>
      <c r="B23" s="22">
        <v>17</v>
      </c>
      <c r="C23" s="18" t="s">
        <v>246</v>
      </c>
      <c r="D23" s="19">
        <v>806.8</v>
      </c>
      <c r="E23" s="19">
        <v>2485.3000000000002</v>
      </c>
      <c r="F23" s="20">
        <f t="shared" si="1"/>
        <v>-0.67537118255341411</v>
      </c>
      <c r="G23" s="21">
        <v>159</v>
      </c>
      <c r="H23" s="22">
        <v>8</v>
      </c>
      <c r="I23" s="22">
        <f t="shared" si="2"/>
        <v>19.875</v>
      </c>
      <c r="J23" s="22">
        <v>1</v>
      </c>
      <c r="K23" s="22">
        <v>4</v>
      </c>
      <c r="L23" s="19">
        <v>39251.160000000003</v>
      </c>
      <c r="M23" s="21">
        <v>6649</v>
      </c>
      <c r="N23" s="23">
        <v>45156</v>
      </c>
      <c r="O23" s="30" t="s">
        <v>14</v>
      </c>
      <c r="P23" s="77"/>
    </row>
    <row r="24" spans="1:16" s="27" customFormat="1" ht="25.9" customHeight="1" x14ac:dyDescent="0.2">
      <c r="A24" s="22">
        <v>22</v>
      </c>
      <c r="B24" s="22" t="s">
        <v>57</v>
      </c>
      <c r="C24" s="7" t="s">
        <v>292</v>
      </c>
      <c r="D24" s="8">
        <v>580.65</v>
      </c>
      <c r="E24" s="20" t="s">
        <v>18</v>
      </c>
      <c r="F24" s="20" t="s">
        <v>18</v>
      </c>
      <c r="G24" s="10">
        <v>91</v>
      </c>
      <c r="H24" s="11">
        <v>1</v>
      </c>
      <c r="I24" s="22">
        <f t="shared" si="2"/>
        <v>91</v>
      </c>
      <c r="J24" s="11">
        <v>1</v>
      </c>
      <c r="K24" s="11">
        <v>0</v>
      </c>
      <c r="L24" s="19">
        <v>580.65</v>
      </c>
      <c r="M24" s="21">
        <v>91</v>
      </c>
      <c r="N24" s="12" t="s">
        <v>59</v>
      </c>
      <c r="O24" s="31" t="s">
        <v>40</v>
      </c>
      <c r="P24" s="77"/>
    </row>
    <row r="25" spans="1:16" s="27" customFormat="1" ht="25.9" customHeight="1" x14ac:dyDescent="0.2">
      <c r="A25" s="22">
        <v>23</v>
      </c>
      <c r="B25" s="22">
        <v>20</v>
      </c>
      <c r="C25" s="18" t="s">
        <v>262</v>
      </c>
      <c r="D25" s="19">
        <v>544.5</v>
      </c>
      <c r="E25" s="19">
        <v>1263.73</v>
      </c>
      <c r="F25" s="20">
        <f>(D25-E25)/E25</f>
        <v>-0.56913264700529387</v>
      </c>
      <c r="G25" s="21">
        <v>121</v>
      </c>
      <c r="H25" s="22">
        <v>2</v>
      </c>
      <c r="I25" s="22">
        <f t="shared" si="2"/>
        <v>60.5</v>
      </c>
      <c r="J25" s="22">
        <v>2</v>
      </c>
      <c r="K25" s="22">
        <v>3</v>
      </c>
      <c r="L25" s="19">
        <v>13210.25</v>
      </c>
      <c r="M25" s="21">
        <v>2574</v>
      </c>
      <c r="N25" s="23" t="s">
        <v>270</v>
      </c>
      <c r="O25" s="30" t="s">
        <v>13</v>
      </c>
      <c r="P25" s="77"/>
    </row>
    <row r="26" spans="1:16" s="27" customFormat="1" ht="25.9" customHeight="1" x14ac:dyDescent="0.2">
      <c r="A26" s="22">
        <v>24</v>
      </c>
      <c r="B26" s="22">
        <v>26</v>
      </c>
      <c r="C26" s="18" t="s">
        <v>235</v>
      </c>
      <c r="D26" s="19">
        <v>509.39999999999986</v>
      </c>
      <c r="E26" s="19">
        <v>523.20000000000005</v>
      </c>
      <c r="F26" s="20">
        <f>(D26-E26)/E26</f>
        <v>-2.6376146788991171E-2</v>
      </c>
      <c r="G26" s="21">
        <v>84</v>
      </c>
      <c r="H26" s="22">
        <v>5</v>
      </c>
      <c r="I26" s="22">
        <f t="shared" si="2"/>
        <v>16.8</v>
      </c>
      <c r="J26" s="22">
        <v>3</v>
      </c>
      <c r="K26" s="20" t="s">
        <v>18</v>
      </c>
      <c r="L26" s="19">
        <v>6742.01</v>
      </c>
      <c r="M26" s="21">
        <v>1164</v>
      </c>
      <c r="N26" s="23">
        <v>45135</v>
      </c>
      <c r="O26" s="30" t="s">
        <v>117</v>
      </c>
      <c r="P26" s="77"/>
    </row>
    <row r="27" spans="1:16" s="27" customFormat="1" ht="25.5" customHeight="1" x14ac:dyDescent="0.2">
      <c r="A27" s="22">
        <v>25</v>
      </c>
      <c r="B27" s="22">
        <v>24</v>
      </c>
      <c r="C27" s="18" t="s">
        <v>275</v>
      </c>
      <c r="D27" s="19">
        <v>320.60000000000002</v>
      </c>
      <c r="E27" s="19">
        <v>614.80999999999995</v>
      </c>
      <c r="F27" s="20">
        <f>(D27-E27)/E27</f>
        <v>-0.47853808493680966</v>
      </c>
      <c r="G27" s="21">
        <v>70</v>
      </c>
      <c r="H27" s="22">
        <v>7</v>
      </c>
      <c r="I27" s="22">
        <f t="shared" si="2"/>
        <v>10</v>
      </c>
      <c r="J27" s="22">
        <v>2</v>
      </c>
      <c r="K27" s="22">
        <v>3</v>
      </c>
      <c r="L27" s="19">
        <v>1915.07</v>
      </c>
      <c r="M27" s="21">
        <v>366</v>
      </c>
      <c r="N27" s="23">
        <v>45163</v>
      </c>
      <c r="O27" s="30" t="s">
        <v>276</v>
      </c>
      <c r="P27" s="77"/>
    </row>
    <row r="28" spans="1:16" s="27" customFormat="1" ht="25.9" customHeight="1" x14ac:dyDescent="0.2">
      <c r="A28" s="22">
        <v>26</v>
      </c>
      <c r="B28" s="22">
        <v>29</v>
      </c>
      <c r="C28" s="18" t="s">
        <v>214</v>
      </c>
      <c r="D28" s="19">
        <v>279.09999999999991</v>
      </c>
      <c r="E28" s="19">
        <v>350.90000000000009</v>
      </c>
      <c r="F28" s="20">
        <f>(D28-E28)/E28</f>
        <v>-0.20461669991450601</v>
      </c>
      <c r="G28" s="21">
        <v>48</v>
      </c>
      <c r="H28" s="22">
        <v>4</v>
      </c>
      <c r="I28" s="22">
        <f t="shared" si="2"/>
        <v>12</v>
      </c>
      <c r="J28" s="22">
        <v>2</v>
      </c>
      <c r="K28" s="20" t="s">
        <v>18</v>
      </c>
      <c r="L28" s="19">
        <v>7896.369999999999</v>
      </c>
      <c r="M28" s="21">
        <v>1324</v>
      </c>
      <c r="N28" s="23">
        <v>45121</v>
      </c>
      <c r="O28" s="30" t="s">
        <v>117</v>
      </c>
      <c r="P28" s="77"/>
    </row>
    <row r="29" spans="1:16" s="27" customFormat="1" ht="25.9" customHeight="1" x14ac:dyDescent="0.2">
      <c r="A29" s="22">
        <v>27</v>
      </c>
      <c r="B29" s="20" t="s">
        <v>18</v>
      </c>
      <c r="C29" s="18" t="s">
        <v>234</v>
      </c>
      <c r="D29" s="74">
        <v>212.5</v>
      </c>
      <c r="E29" s="20" t="s">
        <v>18</v>
      </c>
      <c r="F29" s="20" t="s">
        <v>18</v>
      </c>
      <c r="G29" s="73">
        <v>89</v>
      </c>
      <c r="H29" s="75">
        <v>1</v>
      </c>
      <c r="I29" s="75">
        <f t="shared" si="2"/>
        <v>89</v>
      </c>
      <c r="J29" s="75">
        <v>1</v>
      </c>
      <c r="K29" s="20" t="s">
        <v>18</v>
      </c>
      <c r="L29" s="74">
        <v>3896.16</v>
      </c>
      <c r="M29" s="73">
        <v>886</v>
      </c>
      <c r="N29" s="23">
        <v>45135</v>
      </c>
      <c r="O29" s="30" t="s">
        <v>48</v>
      </c>
      <c r="P29" s="77"/>
    </row>
    <row r="30" spans="1:16" s="27" customFormat="1" ht="25.9" customHeight="1" x14ac:dyDescent="0.2">
      <c r="A30" s="22">
        <v>28</v>
      </c>
      <c r="B30" s="22">
        <v>36</v>
      </c>
      <c r="C30" s="18" t="s">
        <v>146</v>
      </c>
      <c r="D30" s="19">
        <v>191.7</v>
      </c>
      <c r="E30" s="19">
        <v>157.1</v>
      </c>
      <c r="F30" s="20">
        <f>(D30-E30)/E30</f>
        <v>0.22024188415022275</v>
      </c>
      <c r="G30" s="21">
        <v>26</v>
      </c>
      <c r="H30" s="22">
        <v>3</v>
      </c>
      <c r="I30" s="22">
        <f t="shared" si="2"/>
        <v>8.6666666666666661</v>
      </c>
      <c r="J30" s="22">
        <v>1</v>
      </c>
      <c r="K30" s="22">
        <v>15</v>
      </c>
      <c r="L30" s="19">
        <v>10143.200000000003</v>
      </c>
      <c r="M30" s="21">
        <v>1551</v>
      </c>
      <c r="N30" s="23">
        <v>45079</v>
      </c>
      <c r="O30" s="30" t="s">
        <v>16</v>
      </c>
      <c r="P30" s="77"/>
    </row>
    <row r="31" spans="1:16" s="27" customFormat="1" ht="25.9" customHeight="1" x14ac:dyDescent="0.2">
      <c r="A31" s="22">
        <v>29</v>
      </c>
      <c r="B31" s="22">
        <v>27</v>
      </c>
      <c r="C31" s="18" t="s">
        <v>142</v>
      </c>
      <c r="D31" s="19">
        <v>186.6</v>
      </c>
      <c r="E31" s="19">
        <v>437.6</v>
      </c>
      <c r="F31" s="20">
        <f>(D31-E31)/E31</f>
        <v>-0.57358318098720296</v>
      </c>
      <c r="G31" s="21">
        <v>30</v>
      </c>
      <c r="H31" s="22">
        <v>2</v>
      </c>
      <c r="I31" s="22">
        <f t="shared" si="2"/>
        <v>15</v>
      </c>
      <c r="J31" s="22">
        <v>2</v>
      </c>
      <c r="K31" s="20" t="s">
        <v>18</v>
      </c>
      <c r="L31" s="19">
        <v>9513.6</v>
      </c>
      <c r="M31" s="21">
        <v>1659</v>
      </c>
      <c r="N31" s="23">
        <v>45065</v>
      </c>
      <c r="O31" s="30" t="s">
        <v>40</v>
      </c>
      <c r="P31" s="77"/>
    </row>
    <row r="32" spans="1:16" s="27" customFormat="1" ht="25.9" customHeight="1" x14ac:dyDescent="0.2">
      <c r="A32" s="22">
        <v>30</v>
      </c>
      <c r="B32" s="22">
        <v>30</v>
      </c>
      <c r="C32" s="18" t="s">
        <v>260</v>
      </c>
      <c r="D32" s="19">
        <v>173.2</v>
      </c>
      <c r="E32" s="19">
        <v>341.4</v>
      </c>
      <c r="F32" s="20">
        <f>(D32-E32)/E32</f>
        <v>-0.49267721148213239</v>
      </c>
      <c r="G32" s="21">
        <v>33</v>
      </c>
      <c r="H32" s="22">
        <v>6</v>
      </c>
      <c r="I32" s="22">
        <f t="shared" si="2"/>
        <v>5.5</v>
      </c>
      <c r="J32" s="22">
        <v>4</v>
      </c>
      <c r="K32" s="22">
        <v>4</v>
      </c>
      <c r="L32" s="19">
        <v>2183</v>
      </c>
      <c r="M32" s="21">
        <v>405</v>
      </c>
      <c r="N32" s="23">
        <v>45156</v>
      </c>
      <c r="O32" s="30" t="s">
        <v>68</v>
      </c>
      <c r="P32" s="77"/>
    </row>
    <row r="33" spans="1:16383" s="27" customFormat="1" ht="25.9" customHeight="1" x14ac:dyDescent="0.2">
      <c r="A33" s="22">
        <v>31</v>
      </c>
      <c r="B33" s="22">
        <v>37</v>
      </c>
      <c r="C33" s="7" t="s">
        <v>67</v>
      </c>
      <c r="D33" s="8">
        <v>158</v>
      </c>
      <c r="E33" s="19">
        <v>108</v>
      </c>
      <c r="F33" s="20" t="s">
        <v>18</v>
      </c>
      <c r="G33" s="73">
        <v>30</v>
      </c>
      <c r="H33" s="75">
        <v>1</v>
      </c>
      <c r="I33" s="22">
        <f t="shared" si="2"/>
        <v>30</v>
      </c>
      <c r="J33" s="75">
        <v>1</v>
      </c>
      <c r="K33" s="20" t="s">
        <v>18</v>
      </c>
      <c r="L33" s="74">
        <v>62276</v>
      </c>
      <c r="M33" s="73">
        <v>8414</v>
      </c>
      <c r="N33" s="23">
        <v>45012</v>
      </c>
      <c r="O33" s="30" t="s">
        <v>68</v>
      </c>
      <c r="P33" s="77"/>
    </row>
    <row r="34" spans="1:16383" s="27" customFormat="1" ht="25.5" customHeight="1" x14ac:dyDescent="0.2">
      <c r="A34" s="22">
        <v>32</v>
      </c>
      <c r="B34" s="22">
        <v>33</v>
      </c>
      <c r="C34" s="18" t="s">
        <v>36</v>
      </c>
      <c r="D34" s="19">
        <v>154.80000000000001</v>
      </c>
      <c r="E34" s="19">
        <v>291.89999999999998</v>
      </c>
      <c r="F34" s="20">
        <f t="shared" ref="F34:F39" si="3">(D34-E34)/E34</f>
        <v>-0.46968139773895162</v>
      </c>
      <c r="G34" s="21">
        <v>24</v>
      </c>
      <c r="H34" s="22">
        <v>4</v>
      </c>
      <c r="I34" s="22">
        <f t="shared" si="2"/>
        <v>6</v>
      </c>
      <c r="J34" s="22">
        <v>1</v>
      </c>
      <c r="K34" s="22">
        <v>28</v>
      </c>
      <c r="L34" s="19">
        <v>243177.33000000007</v>
      </c>
      <c r="M34" s="21">
        <v>38089</v>
      </c>
      <c r="N34" s="23">
        <v>44988</v>
      </c>
      <c r="O34" s="30" t="s">
        <v>39</v>
      </c>
      <c r="P34" s="77"/>
    </row>
    <row r="35" spans="1:16383" ht="25.5" customHeight="1" x14ac:dyDescent="0.2">
      <c r="A35" s="22">
        <v>33</v>
      </c>
      <c r="B35" s="22">
        <v>34</v>
      </c>
      <c r="C35" s="18" t="s">
        <v>174</v>
      </c>
      <c r="D35" s="19">
        <v>129.69999999999999</v>
      </c>
      <c r="E35" s="19">
        <v>246.8</v>
      </c>
      <c r="F35" s="20">
        <f t="shared" si="3"/>
        <v>-0.47447325769854137</v>
      </c>
      <c r="G35" s="21">
        <v>29</v>
      </c>
      <c r="H35" s="22">
        <v>2</v>
      </c>
      <c r="I35" s="22">
        <f t="shared" si="2"/>
        <v>14.5</v>
      </c>
      <c r="J35" s="22">
        <v>2</v>
      </c>
      <c r="K35" s="20" t="s">
        <v>18</v>
      </c>
      <c r="L35" s="19">
        <v>57771.38</v>
      </c>
      <c r="M35" s="21">
        <v>9336</v>
      </c>
      <c r="N35" s="23">
        <v>45086</v>
      </c>
      <c r="O35" s="30" t="s">
        <v>179</v>
      </c>
      <c r="P35" s="72"/>
    </row>
    <row r="36" spans="1:16383" s="27" customFormat="1" ht="25.5" customHeight="1" x14ac:dyDescent="0.2">
      <c r="A36" s="22">
        <v>34</v>
      </c>
      <c r="B36" s="22">
        <v>28</v>
      </c>
      <c r="C36" s="18" t="s">
        <v>250</v>
      </c>
      <c r="D36" s="19">
        <v>40</v>
      </c>
      <c r="E36" s="19">
        <v>354.79</v>
      </c>
      <c r="F36" s="20">
        <f t="shared" si="3"/>
        <v>-0.88725725076805995</v>
      </c>
      <c r="G36" s="21">
        <v>11</v>
      </c>
      <c r="H36" s="22">
        <v>4</v>
      </c>
      <c r="I36" s="22">
        <f t="shared" si="2"/>
        <v>2.75</v>
      </c>
      <c r="J36" s="22">
        <v>3</v>
      </c>
      <c r="K36" s="22">
        <v>5</v>
      </c>
      <c r="L36" s="19">
        <v>13184.6</v>
      </c>
      <c r="M36" s="21">
        <v>2778</v>
      </c>
      <c r="N36" s="23">
        <v>45149</v>
      </c>
      <c r="O36" s="30" t="s">
        <v>64</v>
      </c>
      <c r="P36" s="77"/>
    </row>
    <row r="37" spans="1:16383" s="27" customFormat="1" ht="25.9" customHeight="1" x14ac:dyDescent="0.2">
      <c r="A37" s="22">
        <v>35</v>
      </c>
      <c r="B37" s="22">
        <v>19</v>
      </c>
      <c r="C37" s="18" t="s">
        <v>248</v>
      </c>
      <c r="D37" s="19">
        <v>37</v>
      </c>
      <c r="E37" s="19">
        <v>1658.94</v>
      </c>
      <c r="F37" s="20">
        <f t="shared" si="3"/>
        <v>-0.97769660144429571</v>
      </c>
      <c r="G37" s="21">
        <v>8</v>
      </c>
      <c r="H37" s="22">
        <v>3</v>
      </c>
      <c r="I37" s="22">
        <f t="shared" si="2"/>
        <v>2.6666666666666665</v>
      </c>
      <c r="J37" s="22">
        <v>2</v>
      </c>
      <c r="K37" s="22">
        <v>4</v>
      </c>
      <c r="L37" s="19">
        <v>16131.83</v>
      </c>
      <c r="M37" s="21">
        <v>3513</v>
      </c>
      <c r="N37" s="23">
        <v>45156</v>
      </c>
      <c r="O37" s="30" t="s">
        <v>13</v>
      </c>
      <c r="P37" s="77"/>
    </row>
    <row r="38" spans="1:16383" s="27" customFormat="1" ht="25.9" customHeight="1" x14ac:dyDescent="0.2">
      <c r="A38" s="22">
        <v>36</v>
      </c>
      <c r="B38" s="22">
        <v>31</v>
      </c>
      <c r="C38" s="18" t="s">
        <v>284</v>
      </c>
      <c r="D38" s="19">
        <v>27</v>
      </c>
      <c r="E38" s="19">
        <v>341.18</v>
      </c>
      <c r="F38" s="20">
        <f t="shared" si="3"/>
        <v>-0.92086288762530044</v>
      </c>
      <c r="G38" s="21">
        <v>5</v>
      </c>
      <c r="H38" s="22">
        <v>3</v>
      </c>
      <c r="I38" s="22">
        <f t="shared" si="2"/>
        <v>1.6666666666666667</v>
      </c>
      <c r="J38" s="22">
        <v>2</v>
      </c>
      <c r="K38" s="22">
        <v>2</v>
      </c>
      <c r="L38" s="19">
        <v>368.18</v>
      </c>
      <c r="M38" s="21">
        <v>72</v>
      </c>
      <c r="N38" s="23">
        <v>45170</v>
      </c>
      <c r="O38" s="30" t="s">
        <v>30</v>
      </c>
      <c r="P38" s="77"/>
    </row>
    <row r="39" spans="1:16383" s="27" customFormat="1" ht="25.9" customHeight="1" x14ac:dyDescent="0.2">
      <c r="A39" s="22">
        <v>37</v>
      </c>
      <c r="B39" s="22">
        <v>15</v>
      </c>
      <c r="C39" s="18" t="s">
        <v>263</v>
      </c>
      <c r="D39" s="19">
        <v>24</v>
      </c>
      <c r="E39" s="19">
        <v>3825.37</v>
      </c>
      <c r="F39" s="20">
        <f t="shared" si="3"/>
        <v>-0.99372609708341941</v>
      </c>
      <c r="G39" s="21">
        <v>6</v>
      </c>
      <c r="H39" s="22">
        <v>2</v>
      </c>
      <c r="I39" s="22">
        <f t="shared" si="2"/>
        <v>3</v>
      </c>
      <c r="J39" s="22">
        <v>1</v>
      </c>
      <c r="K39" s="22">
        <v>3</v>
      </c>
      <c r="L39" s="19">
        <v>24030.3</v>
      </c>
      <c r="M39" s="21">
        <v>4272</v>
      </c>
      <c r="N39" s="23">
        <v>45163</v>
      </c>
      <c r="O39" s="30" t="s">
        <v>13</v>
      </c>
      <c r="P39" s="77"/>
    </row>
    <row r="40" spans="1:16383" s="45" customFormat="1" ht="25.9" customHeight="1" x14ac:dyDescent="0.2">
      <c r="A40" s="67"/>
      <c r="B40" s="67"/>
      <c r="C40" s="46" t="s">
        <v>293</v>
      </c>
      <c r="D40" s="47">
        <f>SUBTOTAL(109,Table1324587910111213141516171819202122[Pajamos 
(GBO)])</f>
        <v>229177.27000000005</v>
      </c>
      <c r="E40" s="47" t="s">
        <v>288</v>
      </c>
      <c r="F40" s="42">
        <f t="shared" ref="F40" si="4">(D40-E40)/E40</f>
        <v>-0.17238230918125597</v>
      </c>
      <c r="G40" s="43">
        <f>SUBTOTAL(109,Table1324587910111213141516171819202122[Žiūrovų sk. 
(ADM)])</f>
        <v>35465</v>
      </c>
      <c r="H40" s="51"/>
      <c r="I40" s="51"/>
      <c r="J40" s="51"/>
      <c r="K40" s="46"/>
      <c r="L40" s="53"/>
      <c r="M40" s="55"/>
      <c r="N40" s="60"/>
      <c r="O40" s="80"/>
    </row>
    <row r="41" spans="1:16383" ht="11.25" hidden="1" x14ac:dyDescent="0.15">
      <c r="A41" s="38"/>
      <c r="B41" s="38"/>
      <c r="K41" s="1"/>
    </row>
    <row r="42" spans="1:16383" ht="11.25" hidden="1" x14ac:dyDescent="0.15">
      <c r="A42" s="38"/>
      <c r="B42" s="38"/>
      <c r="K42" s="1"/>
    </row>
    <row r="43" spans="1:16383" ht="11.25" hidden="1" x14ac:dyDescent="0.15">
      <c r="A43" s="38"/>
      <c r="B43" s="38"/>
      <c r="K43" s="1"/>
    </row>
    <row r="44" spans="1:16383" ht="11.25" hidden="1" x14ac:dyDescent="0.15">
      <c r="A44" s="38"/>
      <c r="B44" s="38"/>
      <c r="K44" s="1"/>
    </row>
    <row r="45" spans="1:16383" ht="11.25" hidden="1" x14ac:dyDescent="0.15">
      <c r="A45" s="38"/>
      <c r="B45" s="38"/>
      <c r="K45" s="1"/>
    </row>
    <row r="46" spans="1:16383" ht="11.25" hidden="1" x14ac:dyDescent="0.15">
      <c r="A46" s="38"/>
      <c r="B46" s="38"/>
      <c r="K46" s="1"/>
    </row>
    <row r="47" spans="1:16383" s="37" customFormat="1" ht="11.25" hidden="1" x14ac:dyDescent="0.15">
      <c r="A47" s="38"/>
      <c r="B47" s="38"/>
      <c r="C47" s="1"/>
      <c r="F47" s="58"/>
      <c r="G47" s="56"/>
      <c r="H47" s="38"/>
      <c r="I47" s="38"/>
      <c r="J47" s="38"/>
      <c r="K47" s="1"/>
      <c r="M47" s="56"/>
      <c r="N47" s="39"/>
      <c r="O47" s="8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  <c r="XFC47" s="1"/>
    </row>
    <row r="48" spans="1:16383" s="37" customFormat="1" ht="11.25" hidden="1" x14ac:dyDescent="0.15">
      <c r="A48" s="38"/>
      <c r="B48" s="38"/>
      <c r="C48" s="1"/>
      <c r="F48" s="58"/>
      <c r="G48" s="56"/>
      <c r="H48" s="38"/>
      <c r="I48" s="38"/>
      <c r="J48" s="38"/>
      <c r="K48" s="1"/>
      <c r="M48" s="56"/>
      <c r="N48" s="39"/>
      <c r="O48" s="8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</row>
    <row r="49" spans="1:16383" s="37" customFormat="1" ht="11.25" hidden="1" x14ac:dyDescent="0.15">
      <c r="A49" s="38"/>
      <c r="B49" s="38"/>
      <c r="C49" s="1"/>
      <c r="F49" s="58"/>
      <c r="G49" s="56"/>
      <c r="H49" s="38"/>
      <c r="I49" s="38"/>
      <c r="J49" s="38"/>
      <c r="K49" s="1"/>
      <c r="M49" s="56"/>
      <c r="N49" s="39"/>
      <c r="O49" s="8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  <row r="50" spans="1:16383" s="37" customFormat="1" ht="11.25" hidden="1" x14ac:dyDescent="0.15">
      <c r="A50" s="38"/>
      <c r="B50" s="38"/>
      <c r="C50" s="1"/>
      <c r="F50" s="58"/>
      <c r="G50" s="56"/>
      <c r="H50" s="38"/>
      <c r="I50" s="38"/>
      <c r="J50" s="38"/>
      <c r="K50" s="1"/>
      <c r="M50" s="56"/>
      <c r="N50" s="39"/>
      <c r="O50" s="8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  <c r="XFC50" s="1"/>
    </row>
    <row r="51" spans="1:16383" s="37" customFormat="1" ht="11.25" hidden="1" x14ac:dyDescent="0.15">
      <c r="A51" s="38"/>
      <c r="B51" s="38"/>
      <c r="C51" s="1"/>
      <c r="F51" s="58"/>
      <c r="G51" s="56"/>
      <c r="H51" s="38"/>
      <c r="I51" s="38"/>
      <c r="J51" s="38"/>
      <c r="K51" s="1"/>
      <c r="M51" s="56"/>
      <c r="N51" s="39"/>
      <c r="O51" s="8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  <c r="XFC51" s="1"/>
    </row>
    <row r="52" spans="1:16383" s="37" customFormat="1" ht="11.25" hidden="1" x14ac:dyDescent="0.15">
      <c r="A52" s="38"/>
      <c r="B52" s="38"/>
      <c r="C52" s="1"/>
      <c r="F52" s="58"/>
      <c r="G52" s="56"/>
      <c r="H52" s="38"/>
      <c r="I52" s="38"/>
      <c r="J52" s="38"/>
      <c r="K52" s="1"/>
      <c r="M52" s="56"/>
      <c r="N52" s="39"/>
      <c r="O52" s="8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  <c r="XFB52" s="1"/>
      <c r="XFC52" s="1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AD043-6B6A-4244-AA6C-CFAD9816097F}">
  <dimension ref="A1:XFC54"/>
  <sheetViews>
    <sheetView topLeftCell="A11" zoomScale="60" zoomScaleNormal="60" workbookViewId="0">
      <selection activeCell="J26" sqref="J26"/>
    </sheetView>
  </sheetViews>
  <sheetFormatPr defaultColWidth="0" defaultRowHeight="0" customHeight="1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278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50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22">
        <v>1</v>
      </c>
      <c r="B3" s="22">
        <v>3</v>
      </c>
      <c r="C3" s="18" t="s">
        <v>274</v>
      </c>
      <c r="D3" s="19">
        <v>34635.33</v>
      </c>
      <c r="E3" s="19">
        <v>37787.870000000003</v>
      </c>
      <c r="F3" s="20">
        <f>(D3-E3)/E3</f>
        <v>-8.3427300877239194E-2</v>
      </c>
      <c r="G3" s="21">
        <v>6807</v>
      </c>
      <c r="H3" s="22">
        <v>233</v>
      </c>
      <c r="I3" s="22">
        <f>G3/H3</f>
        <v>29.214592274678111</v>
      </c>
      <c r="J3" s="22">
        <v>16</v>
      </c>
      <c r="K3" s="22">
        <v>2</v>
      </c>
      <c r="L3" s="19">
        <v>72423.199999999997</v>
      </c>
      <c r="M3" s="21">
        <v>15085</v>
      </c>
      <c r="N3" s="23">
        <v>45163</v>
      </c>
      <c r="O3" s="35" t="s">
        <v>16</v>
      </c>
    </row>
    <row r="4" spans="1:18" s="24" customFormat="1" ht="25.9" customHeight="1" x14ac:dyDescent="0.2">
      <c r="A4" s="22">
        <v>2</v>
      </c>
      <c r="B4" s="22" t="s">
        <v>31</v>
      </c>
      <c r="C4" s="18" t="s">
        <v>271</v>
      </c>
      <c r="D4" s="19">
        <v>31457.73</v>
      </c>
      <c r="E4" s="20" t="s">
        <v>18</v>
      </c>
      <c r="F4" s="20" t="s">
        <v>18</v>
      </c>
      <c r="G4" s="21">
        <v>4316</v>
      </c>
      <c r="H4" s="22">
        <v>189</v>
      </c>
      <c r="I4" s="22">
        <f>G4/H4</f>
        <v>22.835978835978835</v>
      </c>
      <c r="J4" s="22">
        <v>15</v>
      </c>
      <c r="K4" s="22">
        <v>1</v>
      </c>
      <c r="L4" s="19">
        <v>34650.199999999997</v>
      </c>
      <c r="M4" s="21">
        <v>4739</v>
      </c>
      <c r="N4" s="23">
        <v>45170</v>
      </c>
      <c r="O4" s="30" t="s">
        <v>12</v>
      </c>
    </row>
    <row r="5" spans="1:18" s="24" customFormat="1" ht="25.9" customHeight="1" x14ac:dyDescent="0.2">
      <c r="A5" s="22">
        <v>3</v>
      </c>
      <c r="B5" s="22">
        <v>1</v>
      </c>
      <c r="C5" s="18" t="s">
        <v>222</v>
      </c>
      <c r="D5" s="19">
        <v>29030.01</v>
      </c>
      <c r="E5" s="19">
        <v>51401.07</v>
      </c>
      <c r="F5" s="20">
        <f>(D5-E5)/E5</f>
        <v>-0.43522557020700153</v>
      </c>
      <c r="G5" s="21">
        <v>3978</v>
      </c>
      <c r="H5" s="22">
        <v>146</v>
      </c>
      <c r="I5" s="22">
        <f>G5/H5</f>
        <v>27.246575342465754</v>
      </c>
      <c r="J5" s="22">
        <v>11</v>
      </c>
      <c r="K5" s="22">
        <v>7</v>
      </c>
      <c r="L5" s="19">
        <v>995871.67</v>
      </c>
      <c r="M5" s="21">
        <v>139365</v>
      </c>
      <c r="N5" s="23">
        <v>45128</v>
      </c>
      <c r="O5" s="30" t="s">
        <v>179</v>
      </c>
      <c r="R5" s="17"/>
    </row>
    <row r="6" spans="1:18" s="24" customFormat="1" ht="25.9" customHeight="1" x14ac:dyDescent="0.2">
      <c r="A6" s="22">
        <v>4</v>
      </c>
      <c r="B6" s="22">
        <v>2</v>
      </c>
      <c r="C6" s="18" t="s">
        <v>213</v>
      </c>
      <c r="D6" s="19">
        <v>26219.84</v>
      </c>
      <c r="E6" s="19">
        <v>50825</v>
      </c>
      <c r="F6" s="20">
        <f>(D6-E6)/E6</f>
        <v>-0.48411529758976879</v>
      </c>
      <c r="G6" s="21">
        <v>4028</v>
      </c>
      <c r="H6" s="22">
        <v>209</v>
      </c>
      <c r="I6" s="22">
        <f>G6/H6</f>
        <v>19.272727272727273</v>
      </c>
      <c r="J6" s="22">
        <v>13</v>
      </c>
      <c r="K6" s="22">
        <v>7</v>
      </c>
      <c r="L6" s="19">
        <v>1121980.7</v>
      </c>
      <c r="M6" s="21">
        <v>170529</v>
      </c>
      <c r="N6" s="23">
        <v>45128</v>
      </c>
      <c r="O6" s="35" t="s">
        <v>14</v>
      </c>
      <c r="R6" s="17"/>
    </row>
    <row r="7" spans="1:18" s="24" customFormat="1" ht="25.9" customHeight="1" x14ac:dyDescent="0.2">
      <c r="A7" s="22">
        <v>5</v>
      </c>
      <c r="B7" s="22" t="s">
        <v>31</v>
      </c>
      <c r="C7" s="18" t="s">
        <v>280</v>
      </c>
      <c r="D7" s="19">
        <v>24416</v>
      </c>
      <c r="E7" s="19" t="s">
        <v>18</v>
      </c>
      <c r="F7" s="20" t="s">
        <v>18</v>
      </c>
      <c r="G7" s="21">
        <v>5165</v>
      </c>
      <c r="H7" s="22" t="s">
        <v>18</v>
      </c>
      <c r="I7" s="22" t="s">
        <v>18</v>
      </c>
      <c r="J7" s="22">
        <v>18</v>
      </c>
      <c r="K7" s="22">
        <v>1</v>
      </c>
      <c r="L7" s="19">
        <v>24416</v>
      </c>
      <c r="M7" s="21">
        <v>5165</v>
      </c>
      <c r="N7" s="23">
        <v>45170</v>
      </c>
      <c r="O7" s="35" t="s">
        <v>15</v>
      </c>
      <c r="R7" s="17"/>
    </row>
    <row r="8" spans="1:18" s="24" customFormat="1" ht="25.9" customHeight="1" x14ac:dyDescent="0.2">
      <c r="A8" s="22">
        <v>6</v>
      </c>
      <c r="B8" s="22">
        <v>5</v>
      </c>
      <c r="C8" s="18" t="s">
        <v>239</v>
      </c>
      <c r="D8" s="19">
        <v>20441.18</v>
      </c>
      <c r="E8" s="19">
        <v>36145.279999999999</v>
      </c>
      <c r="F8" s="20">
        <f>(D8-E8)/E8</f>
        <v>-0.43447166545673455</v>
      </c>
      <c r="G8" s="21">
        <v>3097</v>
      </c>
      <c r="H8" s="22">
        <v>105</v>
      </c>
      <c r="I8" s="22">
        <f>G8/H8</f>
        <v>29.495238095238093</v>
      </c>
      <c r="J8" s="22">
        <v>10</v>
      </c>
      <c r="K8" s="22">
        <v>4</v>
      </c>
      <c r="L8" s="19">
        <v>183762.89</v>
      </c>
      <c r="M8" s="21">
        <v>29061</v>
      </c>
      <c r="N8" s="23">
        <v>45149</v>
      </c>
      <c r="O8" s="35" t="s">
        <v>12</v>
      </c>
      <c r="R8" s="17"/>
    </row>
    <row r="9" spans="1:18" s="24" customFormat="1" ht="25.9" customHeight="1" x14ac:dyDescent="0.2">
      <c r="A9" s="22">
        <v>7</v>
      </c>
      <c r="B9" s="22">
        <v>4</v>
      </c>
      <c r="C9" s="18" t="s">
        <v>272</v>
      </c>
      <c r="D9" s="19">
        <v>18028</v>
      </c>
      <c r="E9" s="19">
        <v>36583</v>
      </c>
      <c r="F9" s="20">
        <f>(D9-E9)/E9</f>
        <v>-0.50720279911434274</v>
      </c>
      <c r="G9" s="21">
        <v>2461</v>
      </c>
      <c r="H9" s="22" t="s">
        <v>18</v>
      </c>
      <c r="I9" s="22" t="s">
        <v>18</v>
      </c>
      <c r="J9" s="22">
        <v>11</v>
      </c>
      <c r="K9" s="22">
        <v>2</v>
      </c>
      <c r="L9" s="19">
        <v>54612</v>
      </c>
      <c r="M9" s="21">
        <v>8607</v>
      </c>
      <c r="N9" s="23">
        <v>45132</v>
      </c>
      <c r="O9" s="35" t="s">
        <v>15</v>
      </c>
      <c r="R9" s="17"/>
    </row>
    <row r="10" spans="1:18" s="24" customFormat="1" ht="25.9" customHeight="1" x14ac:dyDescent="0.2">
      <c r="A10" s="22">
        <v>8</v>
      </c>
      <c r="B10" s="22">
        <v>8</v>
      </c>
      <c r="C10" s="18" t="s">
        <v>181</v>
      </c>
      <c r="D10" s="19">
        <v>16229.57</v>
      </c>
      <c r="E10" s="19">
        <v>13893.81</v>
      </c>
      <c r="F10" s="20">
        <f>(D10-E10)/E10</f>
        <v>0.16811515343883357</v>
      </c>
      <c r="G10" s="21">
        <v>2987</v>
      </c>
      <c r="H10" s="22">
        <v>82</v>
      </c>
      <c r="I10" s="22">
        <f>G10/H10</f>
        <v>36.426829268292686</v>
      </c>
      <c r="J10" s="22">
        <v>8</v>
      </c>
      <c r="K10" s="22">
        <v>12</v>
      </c>
      <c r="L10" s="19">
        <v>481503.41</v>
      </c>
      <c r="M10" s="21">
        <v>95239</v>
      </c>
      <c r="N10" s="23">
        <v>45093</v>
      </c>
      <c r="O10" s="30" t="s">
        <v>40</v>
      </c>
      <c r="R10" s="17"/>
    </row>
    <row r="11" spans="1:18" s="24" customFormat="1" ht="25.9" customHeight="1" x14ac:dyDescent="0.2">
      <c r="A11" s="22">
        <v>9</v>
      </c>
      <c r="B11" s="22" t="s">
        <v>31</v>
      </c>
      <c r="C11" s="18" t="s">
        <v>281</v>
      </c>
      <c r="D11" s="19">
        <v>14149</v>
      </c>
      <c r="E11" s="19" t="s">
        <v>18</v>
      </c>
      <c r="F11" s="20" t="s">
        <v>18</v>
      </c>
      <c r="G11" s="21">
        <v>2134</v>
      </c>
      <c r="H11" s="22" t="s">
        <v>18</v>
      </c>
      <c r="I11" s="22" t="s">
        <v>18</v>
      </c>
      <c r="J11" s="22">
        <v>9</v>
      </c>
      <c r="K11" s="22">
        <v>1</v>
      </c>
      <c r="L11" s="19">
        <v>14149</v>
      </c>
      <c r="M11" s="21">
        <v>2134</v>
      </c>
      <c r="N11" s="23">
        <v>45170</v>
      </c>
      <c r="O11" s="35" t="s">
        <v>15</v>
      </c>
      <c r="R11" s="17"/>
    </row>
    <row r="12" spans="1:18" s="24" customFormat="1" ht="25.9" customHeight="1" x14ac:dyDescent="0.2">
      <c r="A12" s="22">
        <v>10</v>
      </c>
      <c r="B12" s="22">
        <v>11</v>
      </c>
      <c r="C12" s="18" t="s">
        <v>264</v>
      </c>
      <c r="D12" s="19">
        <v>10734.66</v>
      </c>
      <c r="E12" s="19">
        <v>8538.42</v>
      </c>
      <c r="F12" s="20">
        <f>(D12-E12)/E12</f>
        <v>0.25721854863077709</v>
      </c>
      <c r="G12" s="21">
        <v>1748</v>
      </c>
      <c r="H12" s="22">
        <v>36</v>
      </c>
      <c r="I12" s="22">
        <f t="shared" ref="I12:I38" si="0">G12/H12</f>
        <v>48.555555555555557</v>
      </c>
      <c r="J12" s="22">
        <v>8</v>
      </c>
      <c r="K12" s="22">
        <v>3</v>
      </c>
      <c r="L12" s="19">
        <v>32068.15</v>
      </c>
      <c r="M12" s="21">
        <v>5460</v>
      </c>
      <c r="N12" s="23">
        <v>45156</v>
      </c>
      <c r="O12" s="30" t="s">
        <v>64</v>
      </c>
      <c r="R12" s="17"/>
    </row>
    <row r="13" spans="1:18" s="27" customFormat="1" ht="25.9" customHeight="1" x14ac:dyDescent="0.15">
      <c r="A13" s="22">
        <v>11</v>
      </c>
      <c r="B13" s="22" t="s">
        <v>31</v>
      </c>
      <c r="C13" s="7" t="s">
        <v>282</v>
      </c>
      <c r="D13" s="8">
        <v>8482.3799999999992</v>
      </c>
      <c r="E13" s="19" t="s">
        <v>18</v>
      </c>
      <c r="F13" s="20" t="s">
        <v>18</v>
      </c>
      <c r="G13" s="10">
        <v>1360</v>
      </c>
      <c r="H13" s="11">
        <v>146</v>
      </c>
      <c r="I13" s="22">
        <f t="shared" si="0"/>
        <v>9.3150684931506849</v>
      </c>
      <c r="J13" s="11">
        <v>14</v>
      </c>
      <c r="K13" s="11">
        <v>1</v>
      </c>
      <c r="L13" s="19">
        <v>8482.3799999999992</v>
      </c>
      <c r="M13" s="21">
        <v>1360</v>
      </c>
      <c r="N13" s="12">
        <v>45170</v>
      </c>
      <c r="O13" s="62" t="s">
        <v>170</v>
      </c>
    </row>
    <row r="14" spans="1:18" s="27" customFormat="1" ht="25.9" customHeight="1" x14ac:dyDescent="0.15">
      <c r="A14" s="22">
        <v>12</v>
      </c>
      <c r="B14" s="22">
        <v>6</v>
      </c>
      <c r="C14" s="18" t="s">
        <v>238</v>
      </c>
      <c r="D14" s="19">
        <v>8430</v>
      </c>
      <c r="E14" s="19">
        <v>19739.27</v>
      </c>
      <c r="F14" s="20">
        <f>(D14-E14)/E14</f>
        <v>-0.5729325349924288</v>
      </c>
      <c r="G14" s="21">
        <v>1270</v>
      </c>
      <c r="H14" s="22">
        <v>52</v>
      </c>
      <c r="I14" s="22">
        <f t="shared" si="0"/>
        <v>24.423076923076923</v>
      </c>
      <c r="J14" s="22">
        <v>6</v>
      </c>
      <c r="K14" s="22">
        <v>5</v>
      </c>
      <c r="L14" s="19">
        <v>174589.18</v>
      </c>
      <c r="M14" s="21">
        <v>28093</v>
      </c>
      <c r="N14" s="23">
        <v>45142</v>
      </c>
      <c r="O14" s="35" t="s">
        <v>14</v>
      </c>
    </row>
    <row r="15" spans="1:18" s="27" customFormat="1" ht="25.9" customHeight="1" x14ac:dyDescent="0.2">
      <c r="A15" s="22">
        <v>13</v>
      </c>
      <c r="B15" s="22" t="s">
        <v>57</v>
      </c>
      <c r="C15" s="7" t="s">
        <v>283</v>
      </c>
      <c r="D15" s="8">
        <v>6805.51</v>
      </c>
      <c r="E15" s="19" t="s">
        <v>18</v>
      </c>
      <c r="F15" s="20" t="s">
        <v>18</v>
      </c>
      <c r="G15" s="10">
        <v>858</v>
      </c>
      <c r="H15" s="11">
        <v>10</v>
      </c>
      <c r="I15" s="22">
        <f t="shared" si="0"/>
        <v>85.8</v>
      </c>
      <c r="J15" s="11">
        <v>9</v>
      </c>
      <c r="K15" s="11">
        <v>0</v>
      </c>
      <c r="L15" s="19">
        <v>6805.51</v>
      </c>
      <c r="M15" s="21">
        <v>858</v>
      </c>
      <c r="N15" s="12" t="s">
        <v>59</v>
      </c>
      <c r="O15" s="62" t="s">
        <v>14</v>
      </c>
      <c r="P15" s="77"/>
    </row>
    <row r="16" spans="1:18" s="27" customFormat="1" ht="25.9" customHeight="1" x14ac:dyDescent="0.2">
      <c r="A16" s="22">
        <v>14</v>
      </c>
      <c r="B16" s="22">
        <v>13</v>
      </c>
      <c r="C16" s="18" t="s">
        <v>233</v>
      </c>
      <c r="D16" s="19">
        <v>5544.99</v>
      </c>
      <c r="E16" s="19">
        <v>6432.69</v>
      </c>
      <c r="F16" s="20">
        <f>(D16-E16)/E16</f>
        <v>-0.13799825578412761</v>
      </c>
      <c r="G16" s="21">
        <v>1079</v>
      </c>
      <c r="H16" s="22">
        <v>44</v>
      </c>
      <c r="I16" s="22">
        <f t="shared" si="0"/>
        <v>24.522727272727273</v>
      </c>
      <c r="J16" s="22">
        <v>7</v>
      </c>
      <c r="K16" s="22">
        <v>5</v>
      </c>
      <c r="L16" s="19">
        <v>74936.45</v>
      </c>
      <c r="M16" s="21">
        <v>14850</v>
      </c>
      <c r="N16" s="23">
        <v>45142</v>
      </c>
      <c r="O16" s="30" t="s">
        <v>180</v>
      </c>
      <c r="P16" s="77"/>
    </row>
    <row r="17" spans="1:16" s="27" customFormat="1" ht="25.9" customHeight="1" x14ac:dyDescent="0.2">
      <c r="A17" s="22">
        <v>15</v>
      </c>
      <c r="B17" s="22">
        <v>7</v>
      </c>
      <c r="C17" s="18" t="s">
        <v>263</v>
      </c>
      <c r="D17" s="19">
        <v>3825.37</v>
      </c>
      <c r="E17" s="19">
        <v>18767.82</v>
      </c>
      <c r="F17" s="20">
        <f>(D17-E17)/E17</f>
        <v>-0.79617398291330588</v>
      </c>
      <c r="G17" s="21">
        <v>570</v>
      </c>
      <c r="H17" s="22">
        <v>47</v>
      </c>
      <c r="I17" s="22">
        <f t="shared" si="0"/>
        <v>12.127659574468085</v>
      </c>
      <c r="J17" s="22">
        <v>10</v>
      </c>
      <c r="K17" s="22">
        <v>2</v>
      </c>
      <c r="L17" s="19">
        <v>24006.3</v>
      </c>
      <c r="M17" s="21">
        <v>4266</v>
      </c>
      <c r="N17" s="23">
        <v>45163</v>
      </c>
      <c r="O17" s="35" t="s">
        <v>13</v>
      </c>
      <c r="P17" s="77"/>
    </row>
    <row r="18" spans="1:16" s="27" customFormat="1" ht="25.9" customHeight="1" x14ac:dyDescent="0.2">
      <c r="A18" s="22">
        <v>16</v>
      </c>
      <c r="B18" s="22">
        <v>14</v>
      </c>
      <c r="C18" s="18" t="s">
        <v>198</v>
      </c>
      <c r="D18" s="19">
        <v>3794.78</v>
      </c>
      <c r="E18" s="19">
        <v>6216.85</v>
      </c>
      <c r="F18" s="20">
        <f>(D18-E18)/E18</f>
        <v>-0.3895976258072818</v>
      </c>
      <c r="G18" s="21">
        <v>847</v>
      </c>
      <c r="H18" s="22">
        <v>44</v>
      </c>
      <c r="I18" s="22">
        <f t="shared" si="0"/>
        <v>19.25</v>
      </c>
      <c r="J18" s="22">
        <v>6</v>
      </c>
      <c r="K18" s="22">
        <v>8</v>
      </c>
      <c r="L18" s="19">
        <v>204473.82</v>
      </c>
      <c r="M18" s="21">
        <v>41547</v>
      </c>
      <c r="N18" s="23">
        <v>45121</v>
      </c>
      <c r="O18" s="35" t="s">
        <v>13</v>
      </c>
      <c r="P18" s="77"/>
    </row>
    <row r="19" spans="1:16" s="27" customFormat="1" ht="25.9" customHeight="1" x14ac:dyDescent="0.2">
      <c r="A19" s="22">
        <v>17</v>
      </c>
      <c r="B19" s="22">
        <v>9</v>
      </c>
      <c r="C19" s="18" t="s">
        <v>246</v>
      </c>
      <c r="D19" s="19">
        <v>2485.3000000000002</v>
      </c>
      <c r="E19" s="19">
        <v>11030.33</v>
      </c>
      <c r="F19" s="20">
        <f>(D19-E19)/E19</f>
        <v>-0.77468489156716058</v>
      </c>
      <c r="G19" s="21">
        <v>432</v>
      </c>
      <c r="H19" s="22">
        <v>25</v>
      </c>
      <c r="I19" s="22">
        <f t="shared" si="0"/>
        <v>17.28</v>
      </c>
      <c r="J19" s="22">
        <v>5</v>
      </c>
      <c r="K19" s="22">
        <v>3</v>
      </c>
      <c r="L19" s="19">
        <v>38444.36</v>
      </c>
      <c r="M19" s="21">
        <v>6490</v>
      </c>
      <c r="N19" s="23">
        <v>45156</v>
      </c>
      <c r="O19" s="35" t="s">
        <v>14</v>
      </c>
      <c r="P19" s="77"/>
    </row>
    <row r="20" spans="1:16" s="27" customFormat="1" ht="25.9" customHeight="1" x14ac:dyDescent="0.2">
      <c r="A20" s="22">
        <v>18</v>
      </c>
      <c r="B20" s="22" t="s">
        <v>31</v>
      </c>
      <c r="C20" s="7" t="s">
        <v>285</v>
      </c>
      <c r="D20" s="8">
        <v>1962.78</v>
      </c>
      <c r="E20" s="19" t="s">
        <v>18</v>
      </c>
      <c r="F20" s="20" t="s">
        <v>18</v>
      </c>
      <c r="G20" s="10">
        <v>322</v>
      </c>
      <c r="H20" s="11">
        <v>21</v>
      </c>
      <c r="I20" s="22">
        <f t="shared" si="0"/>
        <v>15.333333333333334</v>
      </c>
      <c r="J20" s="11">
        <v>3</v>
      </c>
      <c r="K20" s="11">
        <v>1</v>
      </c>
      <c r="L20" s="19">
        <v>1962.78</v>
      </c>
      <c r="M20" s="21">
        <v>322</v>
      </c>
      <c r="N20" s="12">
        <v>45170</v>
      </c>
      <c r="O20" s="62" t="s">
        <v>117</v>
      </c>
      <c r="P20" s="77"/>
    </row>
    <row r="21" spans="1:16" s="27" customFormat="1" ht="25.9" customHeight="1" x14ac:dyDescent="0.2">
      <c r="A21" s="22">
        <v>19</v>
      </c>
      <c r="B21" s="22">
        <v>15</v>
      </c>
      <c r="C21" s="18" t="s">
        <v>248</v>
      </c>
      <c r="D21" s="19">
        <v>1658.94</v>
      </c>
      <c r="E21" s="19">
        <v>4736.49</v>
      </c>
      <c r="F21" s="20">
        <f>(D21-E21)/E21</f>
        <v>-0.64975329832850903</v>
      </c>
      <c r="G21" s="21">
        <v>383</v>
      </c>
      <c r="H21" s="22">
        <v>25</v>
      </c>
      <c r="I21" s="22">
        <f t="shared" si="0"/>
        <v>15.32</v>
      </c>
      <c r="J21" s="22">
        <v>6</v>
      </c>
      <c r="K21" s="22">
        <v>3</v>
      </c>
      <c r="L21" s="19">
        <v>16094.83</v>
      </c>
      <c r="M21" s="21">
        <v>3505</v>
      </c>
      <c r="N21" s="23">
        <v>45156</v>
      </c>
      <c r="O21" s="35" t="s">
        <v>13</v>
      </c>
      <c r="P21" s="77"/>
    </row>
    <row r="22" spans="1:16" s="27" customFormat="1" ht="25.9" customHeight="1" x14ac:dyDescent="0.2">
      <c r="A22" s="22">
        <v>20</v>
      </c>
      <c r="B22" s="22">
        <v>10</v>
      </c>
      <c r="C22" s="18" t="s">
        <v>262</v>
      </c>
      <c r="D22" s="19">
        <v>1263.73</v>
      </c>
      <c r="E22" s="19">
        <v>9660.9599999999991</v>
      </c>
      <c r="F22" s="20">
        <f>(D22-E22)/E22</f>
        <v>-0.86919208857090813</v>
      </c>
      <c r="G22" s="21">
        <v>211</v>
      </c>
      <c r="H22" s="22">
        <v>20</v>
      </c>
      <c r="I22" s="22">
        <f t="shared" si="0"/>
        <v>10.55</v>
      </c>
      <c r="J22" s="22">
        <v>5</v>
      </c>
      <c r="K22" s="22">
        <v>2</v>
      </c>
      <c r="L22" s="19">
        <v>12665.75</v>
      </c>
      <c r="M22" s="21">
        <v>2453</v>
      </c>
      <c r="N22" s="23" t="s">
        <v>270</v>
      </c>
      <c r="O22" s="35" t="s">
        <v>13</v>
      </c>
      <c r="P22" s="77"/>
    </row>
    <row r="23" spans="1:16" s="27" customFormat="1" ht="25.9" customHeight="1" x14ac:dyDescent="0.2">
      <c r="A23" s="22">
        <v>21</v>
      </c>
      <c r="B23" s="19" t="s">
        <v>18</v>
      </c>
      <c r="C23" s="18" t="s">
        <v>151</v>
      </c>
      <c r="D23" s="19">
        <v>963.99</v>
      </c>
      <c r="E23" s="19" t="s">
        <v>18</v>
      </c>
      <c r="F23" s="20" t="s">
        <v>18</v>
      </c>
      <c r="G23" s="21">
        <v>193</v>
      </c>
      <c r="H23" s="22">
        <v>4</v>
      </c>
      <c r="I23" s="22">
        <f t="shared" si="0"/>
        <v>48.25</v>
      </c>
      <c r="J23" s="22">
        <v>4</v>
      </c>
      <c r="K23" s="22" t="s">
        <v>18</v>
      </c>
      <c r="L23" s="19">
        <v>326412.05</v>
      </c>
      <c r="M23" s="21">
        <v>55147</v>
      </c>
      <c r="N23" s="23">
        <v>45079</v>
      </c>
      <c r="O23" s="35" t="s">
        <v>12</v>
      </c>
      <c r="P23" s="77"/>
    </row>
    <row r="24" spans="1:16" s="27" customFormat="1" ht="25.9" customHeight="1" x14ac:dyDescent="0.2">
      <c r="A24" s="22">
        <v>22</v>
      </c>
      <c r="B24" s="22">
        <v>16</v>
      </c>
      <c r="C24" s="18" t="s">
        <v>209</v>
      </c>
      <c r="D24" s="19">
        <v>744.84</v>
      </c>
      <c r="E24" s="19">
        <v>4134.67</v>
      </c>
      <c r="F24" s="20">
        <f>(D24-E24)/E24</f>
        <v>-0.81985503075215194</v>
      </c>
      <c r="G24" s="21">
        <v>113</v>
      </c>
      <c r="H24" s="22">
        <v>7</v>
      </c>
      <c r="I24" s="22">
        <f t="shared" si="0"/>
        <v>16.142857142857142</v>
      </c>
      <c r="J24" s="22">
        <v>1</v>
      </c>
      <c r="K24" s="22">
        <v>8</v>
      </c>
      <c r="L24" s="19">
        <v>194824.37</v>
      </c>
      <c r="M24" s="21">
        <v>28466</v>
      </c>
      <c r="N24" s="23">
        <v>45121</v>
      </c>
      <c r="O24" s="30" t="s">
        <v>180</v>
      </c>
      <c r="P24" s="77"/>
    </row>
    <row r="25" spans="1:16" s="27" customFormat="1" ht="25.9" customHeight="1" x14ac:dyDescent="0.2">
      <c r="A25" s="22">
        <v>23</v>
      </c>
      <c r="B25" s="22">
        <v>19</v>
      </c>
      <c r="C25" s="18" t="s">
        <v>261</v>
      </c>
      <c r="D25" s="19">
        <v>702.4</v>
      </c>
      <c r="E25" s="19">
        <v>1492.3</v>
      </c>
      <c r="F25" s="20">
        <f>(D25-E25)/E25</f>
        <v>-0.52931716142866714</v>
      </c>
      <c r="G25" s="21">
        <v>116</v>
      </c>
      <c r="H25" s="22">
        <v>7</v>
      </c>
      <c r="I25" s="22">
        <f t="shared" si="0"/>
        <v>16.571428571428573</v>
      </c>
      <c r="J25" s="22">
        <v>3</v>
      </c>
      <c r="K25" s="22">
        <v>3</v>
      </c>
      <c r="L25" s="19">
        <v>4321.8</v>
      </c>
      <c r="M25" s="21">
        <v>673</v>
      </c>
      <c r="N25" s="23">
        <v>45156</v>
      </c>
      <c r="O25" s="35" t="s">
        <v>30</v>
      </c>
      <c r="P25" s="77"/>
    </row>
    <row r="26" spans="1:16" s="27" customFormat="1" ht="25.9" customHeight="1" x14ac:dyDescent="0.2">
      <c r="A26" s="22">
        <v>24</v>
      </c>
      <c r="B26" s="22">
        <v>20</v>
      </c>
      <c r="C26" s="18" t="s">
        <v>275</v>
      </c>
      <c r="D26" s="19">
        <v>614.80999999999995</v>
      </c>
      <c r="E26" s="19">
        <v>979.66</v>
      </c>
      <c r="F26" s="20">
        <f>(D26-E26)/E26</f>
        <v>-0.37242512708490705</v>
      </c>
      <c r="G26" s="21">
        <v>101</v>
      </c>
      <c r="H26" s="22">
        <v>10</v>
      </c>
      <c r="I26" s="22">
        <f t="shared" si="0"/>
        <v>10.1</v>
      </c>
      <c r="J26" s="22">
        <v>4</v>
      </c>
      <c r="K26" s="22">
        <v>2</v>
      </c>
      <c r="L26" s="19">
        <v>1594.47</v>
      </c>
      <c r="M26" s="21">
        <v>296</v>
      </c>
      <c r="N26" s="23">
        <v>45163</v>
      </c>
      <c r="O26" s="35" t="s">
        <v>276</v>
      </c>
      <c r="P26" s="77"/>
    </row>
    <row r="27" spans="1:16" s="27" customFormat="1" ht="25.9" customHeight="1" x14ac:dyDescent="0.2">
      <c r="A27" s="22">
        <v>25</v>
      </c>
      <c r="B27" s="19" t="s">
        <v>18</v>
      </c>
      <c r="C27" s="7" t="s">
        <v>143</v>
      </c>
      <c r="D27" s="8">
        <v>550.23</v>
      </c>
      <c r="E27" s="19" t="s">
        <v>18</v>
      </c>
      <c r="F27" s="20" t="s">
        <v>18</v>
      </c>
      <c r="G27" s="10">
        <v>111</v>
      </c>
      <c r="H27" s="11">
        <v>5</v>
      </c>
      <c r="I27" s="22">
        <f t="shared" si="0"/>
        <v>22.2</v>
      </c>
      <c r="J27" s="11">
        <v>4</v>
      </c>
      <c r="K27" s="22" t="s">
        <v>18</v>
      </c>
      <c r="L27" s="19">
        <v>93122.97</v>
      </c>
      <c r="M27" s="21">
        <v>17744</v>
      </c>
      <c r="N27" s="12">
        <v>45072</v>
      </c>
      <c r="O27" s="62" t="s">
        <v>40</v>
      </c>
      <c r="P27" s="77"/>
    </row>
    <row r="28" spans="1:16" s="27" customFormat="1" ht="25.9" customHeight="1" x14ac:dyDescent="0.2">
      <c r="A28" s="22">
        <v>26</v>
      </c>
      <c r="B28" s="22" t="s">
        <v>31</v>
      </c>
      <c r="C28" s="18" t="s">
        <v>235</v>
      </c>
      <c r="D28" s="19">
        <v>523.20000000000005</v>
      </c>
      <c r="E28" s="19" t="s">
        <v>18</v>
      </c>
      <c r="F28" s="20" t="s">
        <v>18</v>
      </c>
      <c r="G28" s="21">
        <v>99</v>
      </c>
      <c r="H28" s="22">
        <v>9</v>
      </c>
      <c r="I28" s="22">
        <f t="shared" si="0"/>
        <v>11</v>
      </c>
      <c r="J28" s="22">
        <v>4</v>
      </c>
      <c r="K28" s="22" t="s">
        <v>18</v>
      </c>
      <c r="L28" s="19">
        <v>6232.6100000000006</v>
      </c>
      <c r="M28" s="21">
        <v>1080</v>
      </c>
      <c r="N28" s="23">
        <v>45135</v>
      </c>
      <c r="O28" s="35" t="s">
        <v>117</v>
      </c>
      <c r="P28" s="77"/>
    </row>
    <row r="29" spans="1:16" s="27" customFormat="1" ht="25.9" customHeight="1" x14ac:dyDescent="0.2">
      <c r="A29" s="22">
        <v>27</v>
      </c>
      <c r="B29" s="19" t="s">
        <v>18</v>
      </c>
      <c r="C29" s="7" t="s">
        <v>142</v>
      </c>
      <c r="D29" s="8">
        <v>437.6</v>
      </c>
      <c r="E29" s="19" t="s">
        <v>18</v>
      </c>
      <c r="F29" s="20" t="s">
        <v>18</v>
      </c>
      <c r="G29" s="10">
        <v>71</v>
      </c>
      <c r="H29" s="11">
        <v>4</v>
      </c>
      <c r="I29" s="22">
        <f t="shared" si="0"/>
        <v>17.75</v>
      </c>
      <c r="J29" s="11">
        <v>2</v>
      </c>
      <c r="K29" s="22" t="s">
        <v>18</v>
      </c>
      <c r="L29" s="19">
        <v>9327</v>
      </c>
      <c r="M29" s="21">
        <v>1629</v>
      </c>
      <c r="N29" s="12">
        <v>45065</v>
      </c>
      <c r="O29" s="62" t="s">
        <v>40</v>
      </c>
      <c r="P29" s="77"/>
    </row>
    <row r="30" spans="1:16" s="27" customFormat="1" ht="25.9" customHeight="1" x14ac:dyDescent="0.2">
      <c r="A30" s="22">
        <v>28</v>
      </c>
      <c r="B30" s="22">
        <v>22</v>
      </c>
      <c r="C30" s="18" t="s">
        <v>250</v>
      </c>
      <c r="D30" s="19">
        <v>354.79</v>
      </c>
      <c r="E30" s="19">
        <v>617.79</v>
      </c>
      <c r="F30" s="20">
        <f>(D30-E30)/E30</f>
        <v>-0.42571100212046159</v>
      </c>
      <c r="G30" s="21">
        <v>79</v>
      </c>
      <c r="H30" s="22">
        <v>15</v>
      </c>
      <c r="I30" s="22">
        <f t="shared" si="0"/>
        <v>5.2666666666666666</v>
      </c>
      <c r="J30" s="22">
        <v>7</v>
      </c>
      <c r="K30" s="22">
        <v>4</v>
      </c>
      <c r="L30" s="19">
        <v>13144.6</v>
      </c>
      <c r="M30" s="21">
        <v>2767</v>
      </c>
      <c r="N30" s="23">
        <v>45149</v>
      </c>
      <c r="O30" s="35" t="s">
        <v>64</v>
      </c>
      <c r="P30" s="77"/>
    </row>
    <row r="31" spans="1:16" s="27" customFormat="1" ht="25.9" customHeight="1" x14ac:dyDescent="0.2">
      <c r="A31" s="22">
        <v>29</v>
      </c>
      <c r="B31" s="19" t="s">
        <v>18</v>
      </c>
      <c r="C31" s="18" t="s">
        <v>214</v>
      </c>
      <c r="D31" s="19">
        <v>350.90000000000009</v>
      </c>
      <c r="E31" s="19" t="s">
        <v>18</v>
      </c>
      <c r="F31" s="20" t="s">
        <v>18</v>
      </c>
      <c r="G31" s="21">
        <v>56</v>
      </c>
      <c r="H31" s="22">
        <v>7</v>
      </c>
      <c r="I31" s="22">
        <f t="shared" si="0"/>
        <v>8</v>
      </c>
      <c r="J31" s="22">
        <v>4</v>
      </c>
      <c r="K31" s="22" t="s">
        <v>18</v>
      </c>
      <c r="L31" s="19">
        <v>7617.27</v>
      </c>
      <c r="M31" s="21">
        <v>1276</v>
      </c>
      <c r="N31" s="23">
        <v>45121</v>
      </c>
      <c r="O31" s="35" t="s">
        <v>117</v>
      </c>
      <c r="P31" s="77"/>
    </row>
    <row r="32" spans="1:16" s="27" customFormat="1" ht="25.9" customHeight="1" x14ac:dyDescent="0.2">
      <c r="A32" s="22">
        <v>30</v>
      </c>
      <c r="B32" s="22">
        <v>32</v>
      </c>
      <c r="C32" s="18" t="s">
        <v>260</v>
      </c>
      <c r="D32" s="19">
        <v>341.4</v>
      </c>
      <c r="E32" s="19">
        <v>280.3</v>
      </c>
      <c r="F32" s="20">
        <f>(D32-E32)/E32</f>
        <v>0.21798073492686396</v>
      </c>
      <c r="G32" s="21">
        <v>63</v>
      </c>
      <c r="H32" s="22">
        <v>12</v>
      </c>
      <c r="I32" s="22">
        <f t="shared" si="0"/>
        <v>5.25</v>
      </c>
      <c r="J32" s="22">
        <v>5</v>
      </c>
      <c r="K32" s="22">
        <v>3</v>
      </c>
      <c r="L32" s="19">
        <v>1944</v>
      </c>
      <c r="M32" s="21">
        <v>360</v>
      </c>
      <c r="N32" s="23">
        <v>45156</v>
      </c>
      <c r="O32" s="35" t="s">
        <v>68</v>
      </c>
      <c r="P32" s="77"/>
    </row>
    <row r="33" spans="1:16" s="27" customFormat="1" ht="25.9" customHeight="1" x14ac:dyDescent="0.2">
      <c r="A33" s="22">
        <v>31</v>
      </c>
      <c r="B33" s="22" t="s">
        <v>31</v>
      </c>
      <c r="C33" s="18" t="s">
        <v>284</v>
      </c>
      <c r="D33" s="19">
        <v>341.18</v>
      </c>
      <c r="E33" s="19" t="s">
        <v>18</v>
      </c>
      <c r="F33" s="20" t="s">
        <v>18</v>
      </c>
      <c r="G33" s="21">
        <v>67</v>
      </c>
      <c r="H33" s="22">
        <v>15</v>
      </c>
      <c r="I33" s="22">
        <f t="shared" si="0"/>
        <v>4.4666666666666668</v>
      </c>
      <c r="J33" s="22">
        <v>5</v>
      </c>
      <c r="K33" s="22">
        <v>1</v>
      </c>
      <c r="L33" s="19">
        <v>341.18</v>
      </c>
      <c r="M33" s="21">
        <v>67</v>
      </c>
      <c r="N33" s="23">
        <v>45170</v>
      </c>
      <c r="O33" s="35" t="s">
        <v>30</v>
      </c>
      <c r="P33" s="77"/>
    </row>
    <row r="34" spans="1:16" s="27" customFormat="1" ht="25.9" customHeight="1" x14ac:dyDescent="0.2">
      <c r="A34" s="22">
        <v>32</v>
      </c>
      <c r="B34" s="22">
        <v>33</v>
      </c>
      <c r="C34" s="18" t="s">
        <v>37</v>
      </c>
      <c r="D34" s="19">
        <v>326</v>
      </c>
      <c r="E34" s="19">
        <v>114</v>
      </c>
      <c r="F34" s="20">
        <f>(D34-E34)/E34</f>
        <v>1.8596491228070176</v>
      </c>
      <c r="G34" s="21">
        <v>168</v>
      </c>
      <c r="H34" s="22">
        <v>2</v>
      </c>
      <c r="I34" s="22">
        <f t="shared" si="0"/>
        <v>84</v>
      </c>
      <c r="J34" s="22">
        <v>1</v>
      </c>
      <c r="K34" s="22" t="s">
        <v>18</v>
      </c>
      <c r="L34" s="19">
        <v>282245.03999999998</v>
      </c>
      <c r="M34" s="21">
        <v>47670</v>
      </c>
      <c r="N34" s="23">
        <v>44973</v>
      </c>
      <c r="O34" s="35" t="s">
        <v>13</v>
      </c>
      <c r="P34" s="77"/>
    </row>
    <row r="35" spans="1:16" s="27" customFormat="1" ht="25.9" customHeight="1" x14ac:dyDescent="0.2">
      <c r="A35" s="22">
        <v>33</v>
      </c>
      <c r="B35" s="22">
        <v>34</v>
      </c>
      <c r="C35" s="18" t="s">
        <v>36</v>
      </c>
      <c r="D35" s="19">
        <v>291.89999999999998</v>
      </c>
      <c r="E35" s="19">
        <v>75.7</v>
      </c>
      <c r="F35" s="20">
        <f>(D35-E35)/E35</f>
        <v>2.8560105680317038</v>
      </c>
      <c r="G35" s="21">
        <v>48</v>
      </c>
      <c r="H35" s="22">
        <v>4</v>
      </c>
      <c r="I35" s="22">
        <f t="shared" si="0"/>
        <v>12</v>
      </c>
      <c r="J35" s="22">
        <v>2</v>
      </c>
      <c r="K35" s="22">
        <v>27</v>
      </c>
      <c r="L35" s="19">
        <v>243022.53000000009</v>
      </c>
      <c r="M35" s="21">
        <v>38065</v>
      </c>
      <c r="N35" s="23">
        <v>44988</v>
      </c>
      <c r="O35" s="30" t="s">
        <v>39</v>
      </c>
      <c r="P35" s="77"/>
    </row>
    <row r="36" spans="1:16" s="27" customFormat="1" ht="25.9" customHeight="1" x14ac:dyDescent="0.2">
      <c r="A36" s="22">
        <v>34</v>
      </c>
      <c r="B36" s="22">
        <v>23</v>
      </c>
      <c r="C36" s="18" t="s">
        <v>174</v>
      </c>
      <c r="D36" s="19">
        <v>246.8</v>
      </c>
      <c r="E36" s="19">
        <v>559.29999999999995</v>
      </c>
      <c r="F36" s="20">
        <f>(D36-E36)/E36</f>
        <v>-0.55873413195065258</v>
      </c>
      <c r="G36" s="21">
        <v>54</v>
      </c>
      <c r="H36" s="22">
        <v>3</v>
      </c>
      <c r="I36" s="22">
        <f t="shared" si="0"/>
        <v>18</v>
      </c>
      <c r="J36" s="22">
        <v>2</v>
      </c>
      <c r="K36" s="20" t="s">
        <v>18</v>
      </c>
      <c r="L36" s="19">
        <v>57641.68</v>
      </c>
      <c r="M36" s="21">
        <v>9307</v>
      </c>
      <c r="N36" s="23">
        <v>45086</v>
      </c>
      <c r="O36" s="30" t="s">
        <v>179</v>
      </c>
      <c r="P36" s="77"/>
    </row>
    <row r="37" spans="1:16" s="27" customFormat="1" ht="25.9" customHeight="1" x14ac:dyDescent="0.2">
      <c r="A37" s="22">
        <v>35</v>
      </c>
      <c r="B37" s="19" t="s">
        <v>18</v>
      </c>
      <c r="C37" s="7" t="s">
        <v>66</v>
      </c>
      <c r="D37" s="8">
        <v>241.5</v>
      </c>
      <c r="E37" s="19" t="s">
        <v>18</v>
      </c>
      <c r="F37" s="20" t="s">
        <v>18</v>
      </c>
      <c r="G37" s="10">
        <v>42</v>
      </c>
      <c r="H37" s="11">
        <v>1</v>
      </c>
      <c r="I37" s="22">
        <f t="shared" si="0"/>
        <v>42</v>
      </c>
      <c r="J37" s="11">
        <v>1</v>
      </c>
      <c r="K37" s="22" t="s">
        <v>18</v>
      </c>
      <c r="L37" s="19">
        <v>16581.37</v>
      </c>
      <c r="M37" s="21">
        <v>2653</v>
      </c>
      <c r="N37" s="12">
        <v>45047</v>
      </c>
      <c r="O37" s="62" t="s">
        <v>179</v>
      </c>
      <c r="P37" s="77"/>
    </row>
    <row r="38" spans="1:16" s="27" customFormat="1" ht="25.9" customHeight="1" x14ac:dyDescent="0.2">
      <c r="A38" s="22">
        <v>36</v>
      </c>
      <c r="B38" s="22">
        <v>24</v>
      </c>
      <c r="C38" s="18" t="s">
        <v>146</v>
      </c>
      <c r="D38" s="19">
        <v>157.1</v>
      </c>
      <c r="E38" s="19">
        <v>556.20000000000005</v>
      </c>
      <c r="F38" s="20">
        <f>(D38-E38)/E38</f>
        <v>-0.71754764473211075</v>
      </c>
      <c r="G38" s="21">
        <v>22</v>
      </c>
      <c r="H38" s="22">
        <v>4</v>
      </c>
      <c r="I38" s="22">
        <f t="shared" si="0"/>
        <v>5.5</v>
      </c>
      <c r="J38" s="22">
        <v>1</v>
      </c>
      <c r="K38" s="22">
        <v>14</v>
      </c>
      <c r="L38" s="19">
        <v>9951.5000000000018</v>
      </c>
      <c r="M38" s="21">
        <v>1525</v>
      </c>
      <c r="N38" s="23">
        <v>45079</v>
      </c>
      <c r="O38" s="30" t="s">
        <v>16</v>
      </c>
      <c r="P38" s="77"/>
    </row>
    <row r="39" spans="1:16" s="27" customFormat="1" ht="25.9" customHeight="1" x14ac:dyDescent="0.2">
      <c r="A39" s="22">
        <v>37</v>
      </c>
      <c r="B39" s="19" t="s">
        <v>18</v>
      </c>
      <c r="C39" s="7" t="s">
        <v>67</v>
      </c>
      <c r="D39" s="8">
        <v>108</v>
      </c>
      <c r="E39" s="19" t="s">
        <v>18</v>
      </c>
      <c r="F39" s="20" t="s">
        <v>18</v>
      </c>
      <c r="G39" s="10">
        <v>19</v>
      </c>
      <c r="H39" s="11">
        <v>1</v>
      </c>
      <c r="I39" s="11">
        <v>19</v>
      </c>
      <c r="J39" s="11">
        <v>1</v>
      </c>
      <c r="K39" s="11" t="s">
        <v>18</v>
      </c>
      <c r="L39" s="19">
        <v>62118</v>
      </c>
      <c r="M39" s="21">
        <v>8384</v>
      </c>
      <c r="N39" s="12">
        <v>45012</v>
      </c>
      <c r="O39" s="62" t="s">
        <v>68</v>
      </c>
      <c r="P39" s="77"/>
    </row>
    <row r="40" spans="1:16" s="27" customFormat="1" ht="25.9" customHeight="1" x14ac:dyDescent="0.2">
      <c r="A40" s="22">
        <v>38</v>
      </c>
      <c r="B40" s="19" t="s">
        <v>18</v>
      </c>
      <c r="C40" s="7" t="s">
        <v>79</v>
      </c>
      <c r="D40" s="8">
        <v>14.8</v>
      </c>
      <c r="E40" s="19" t="s">
        <v>18</v>
      </c>
      <c r="F40" s="20" t="s">
        <v>18</v>
      </c>
      <c r="G40" s="10">
        <v>2</v>
      </c>
      <c r="H40" s="11">
        <v>1</v>
      </c>
      <c r="I40" s="11">
        <v>2</v>
      </c>
      <c r="J40" s="11">
        <v>1</v>
      </c>
      <c r="K40" s="11" t="s">
        <v>18</v>
      </c>
      <c r="L40" s="19">
        <v>46635</v>
      </c>
      <c r="M40" s="21">
        <v>5476</v>
      </c>
      <c r="N40" s="12">
        <v>45012</v>
      </c>
      <c r="O40" s="62" t="s">
        <v>68</v>
      </c>
      <c r="P40" s="77"/>
    </row>
    <row r="41" spans="1:16" s="27" customFormat="1" ht="25.9" customHeight="1" x14ac:dyDescent="0.2">
      <c r="A41" s="22">
        <v>39</v>
      </c>
      <c r="B41" s="22">
        <v>35</v>
      </c>
      <c r="C41" s="18" t="s">
        <v>273</v>
      </c>
      <c r="D41" s="19">
        <v>5</v>
      </c>
      <c r="E41" s="19">
        <v>47</v>
      </c>
      <c r="F41" s="20">
        <f>(D41-E41)/E41</f>
        <v>-0.8936170212765957</v>
      </c>
      <c r="G41" s="21">
        <v>1</v>
      </c>
      <c r="H41" s="22">
        <v>1</v>
      </c>
      <c r="I41" s="22">
        <f>G41/H41</f>
        <v>1</v>
      </c>
      <c r="J41" s="22">
        <v>1</v>
      </c>
      <c r="K41" s="22">
        <v>4</v>
      </c>
      <c r="L41" s="19">
        <v>253</v>
      </c>
      <c r="M41" s="21">
        <v>41</v>
      </c>
      <c r="N41" s="23">
        <v>45154</v>
      </c>
      <c r="O41" s="35" t="s">
        <v>68</v>
      </c>
      <c r="P41" s="77"/>
    </row>
    <row r="42" spans="1:16" s="45" customFormat="1" ht="25.9" customHeight="1" x14ac:dyDescent="0.2">
      <c r="A42" s="67"/>
      <c r="B42" s="67"/>
      <c r="C42" s="46" t="s">
        <v>286</v>
      </c>
      <c r="D42" s="47">
        <f>SUBTOTAL(109,Table13245879101112131415161718192021[Pajamos 
(GBO)])</f>
        <v>276911.53999999998</v>
      </c>
      <c r="E42" s="47" t="s">
        <v>279</v>
      </c>
      <c r="F42" s="42">
        <f t="shared" ref="F42" si="1">(D42-E42)/E42</f>
        <v>-0.17741799029815505</v>
      </c>
      <c r="G42" s="43">
        <f>SUBTOTAL(109,Table13245879101112131415161718192021[Žiūrovų sk. 
(ADM)])</f>
        <v>45478</v>
      </c>
      <c r="H42" s="51"/>
      <c r="I42" s="51"/>
      <c r="J42" s="51"/>
      <c r="K42" s="46"/>
      <c r="L42" s="53"/>
      <c r="M42" s="55"/>
      <c r="N42" s="60"/>
      <c r="O42" s="46"/>
    </row>
    <row r="43" spans="1:16" ht="11.25" hidden="1" x14ac:dyDescent="0.15">
      <c r="A43" s="38"/>
      <c r="B43" s="38"/>
      <c r="K43" s="1"/>
    </row>
    <row r="44" spans="1:16" ht="11.25" hidden="1" x14ac:dyDescent="0.15">
      <c r="A44" s="38"/>
      <c r="B44" s="38"/>
      <c r="K44" s="1"/>
    </row>
    <row r="45" spans="1:16" ht="11.25" hidden="1" x14ac:dyDescent="0.15">
      <c r="A45" s="38"/>
      <c r="B45" s="38"/>
      <c r="K45" s="1"/>
    </row>
    <row r="46" spans="1:16" ht="11.25" hidden="1" x14ac:dyDescent="0.15">
      <c r="A46" s="38"/>
      <c r="B46" s="38"/>
      <c r="K46" s="1"/>
    </row>
    <row r="47" spans="1:16" ht="11.25" hidden="1" x14ac:dyDescent="0.15">
      <c r="A47" s="38"/>
      <c r="B47" s="38"/>
      <c r="K47" s="1"/>
    </row>
    <row r="48" spans="1:16" ht="11.25" hidden="1" x14ac:dyDescent="0.15">
      <c r="A48" s="38"/>
      <c r="B48" s="38"/>
      <c r="K48" s="1"/>
    </row>
    <row r="49" spans="1:11" ht="11.25" hidden="1" x14ac:dyDescent="0.15">
      <c r="A49" s="38"/>
      <c r="B49" s="38"/>
      <c r="K49" s="1"/>
    </row>
    <row r="50" spans="1:11" ht="11.25" hidden="1" x14ac:dyDescent="0.15">
      <c r="A50" s="38"/>
      <c r="B50" s="38"/>
      <c r="K50" s="1"/>
    </row>
    <row r="51" spans="1:11" ht="11.25" hidden="1" x14ac:dyDescent="0.15">
      <c r="A51" s="38"/>
      <c r="B51" s="38"/>
      <c r="K51" s="1"/>
    </row>
    <row r="52" spans="1:11" ht="11.25" hidden="1" x14ac:dyDescent="0.15">
      <c r="A52" s="38"/>
      <c r="B52" s="38"/>
      <c r="K52" s="1"/>
    </row>
    <row r="53" spans="1:11" ht="11.25" hidden="1" x14ac:dyDescent="0.15">
      <c r="A53" s="38"/>
      <c r="B53" s="38"/>
      <c r="K53" s="1"/>
    </row>
    <row r="54" spans="1:11" ht="11.25" hidden="1" x14ac:dyDescent="0.15">
      <c r="A54" s="38"/>
      <c r="B54" s="38"/>
      <c r="K54" s="1"/>
    </row>
  </sheetData>
  <mergeCells count="1">
    <mergeCell ref="A1:O1"/>
  </mergeCells>
  <phoneticPr fontId="7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1223D-52DA-4785-A5AB-314B0BC6AC52}">
  <dimension ref="A1:XFC51"/>
  <sheetViews>
    <sheetView topLeftCell="A21" zoomScale="60" zoomScaleNormal="60" workbookViewId="0">
      <selection activeCell="C27" sqref="C27:O27"/>
    </sheetView>
  </sheetViews>
  <sheetFormatPr defaultColWidth="0" defaultRowHeight="0" customHeight="1" zeroHeight="1" x14ac:dyDescent="0.15"/>
  <cols>
    <col min="1" max="1" width="4.7109375" style="69" customWidth="1"/>
    <col min="2" max="2" width="4.7109375" style="65" customWidth="1"/>
    <col min="3" max="3" width="30.7109375" style="1" customWidth="1"/>
    <col min="4" max="5" width="20.7109375" style="37" customWidth="1"/>
    <col min="6" max="6" width="20.7109375" style="58" customWidth="1"/>
    <col min="7" max="7" width="20.7109375" style="56" customWidth="1"/>
    <col min="8" max="11" width="20.7109375" style="38" customWidth="1"/>
    <col min="12" max="12" width="20.7109375" style="37" customWidth="1"/>
    <col min="13" max="13" width="20.7109375" style="56" customWidth="1"/>
    <col min="14" max="14" width="20.7109375" style="39" customWidth="1"/>
    <col min="15" max="15" width="30.7109375" style="1" customWidth="1"/>
    <col min="16" max="16383" width="18.28515625" style="1" hidden="1"/>
    <col min="16384" max="16384" width="5.42578125" style="1" hidden="1"/>
  </cols>
  <sheetData>
    <row r="1" spans="1:18" s="4" customFormat="1" ht="40.5" customHeight="1" thickBot="1" x14ac:dyDescent="0.25">
      <c r="A1" s="87" t="s">
        <v>268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</row>
    <row r="2" spans="1:18" s="5" customFormat="1" ht="63.75" customHeight="1" thickBot="1" x14ac:dyDescent="0.25">
      <c r="A2" s="26" t="s">
        <v>54</v>
      </c>
      <c r="B2" s="64" t="s">
        <v>55</v>
      </c>
      <c r="C2" s="15" t="s">
        <v>0</v>
      </c>
      <c r="D2" s="52" t="s">
        <v>1</v>
      </c>
      <c r="E2" s="52" t="s">
        <v>49</v>
      </c>
      <c r="F2" s="57" t="s">
        <v>2</v>
      </c>
      <c r="G2" s="54" t="s">
        <v>3</v>
      </c>
      <c r="H2" s="50" t="s">
        <v>4</v>
      </c>
      <c r="I2" s="50" t="s">
        <v>28</v>
      </c>
      <c r="J2" s="50" t="s">
        <v>10</v>
      </c>
      <c r="K2" s="50" t="s">
        <v>5</v>
      </c>
      <c r="L2" s="52" t="s">
        <v>6</v>
      </c>
      <c r="M2" s="54" t="s">
        <v>9</v>
      </c>
      <c r="N2" s="59" t="s">
        <v>8</v>
      </c>
      <c r="O2" s="16" t="s">
        <v>7</v>
      </c>
    </row>
    <row r="3" spans="1:18" s="24" customFormat="1" ht="25.9" customHeight="1" x14ac:dyDescent="0.2">
      <c r="A3" s="22">
        <v>1</v>
      </c>
      <c r="B3" s="22">
        <v>1</v>
      </c>
      <c r="C3" s="18" t="s">
        <v>222</v>
      </c>
      <c r="D3" s="19">
        <v>51401.07</v>
      </c>
      <c r="E3" s="19">
        <v>61573.04</v>
      </c>
      <c r="F3" s="20">
        <f>(D3-E3)/E3</f>
        <v>-0.16520168567282045</v>
      </c>
      <c r="G3" s="21">
        <v>8318</v>
      </c>
      <c r="H3" s="22">
        <v>176</v>
      </c>
      <c r="I3" s="22">
        <f>G3/H3</f>
        <v>47.261363636363633</v>
      </c>
      <c r="J3" s="22">
        <v>12</v>
      </c>
      <c r="K3" s="22">
        <v>6</v>
      </c>
      <c r="L3" s="19">
        <v>966841.66</v>
      </c>
      <c r="M3" s="21">
        <v>135387</v>
      </c>
      <c r="N3" s="23">
        <v>45128</v>
      </c>
      <c r="O3" s="30" t="s">
        <v>179</v>
      </c>
    </row>
    <row r="4" spans="1:18" s="24" customFormat="1" ht="25.9" customHeight="1" x14ac:dyDescent="0.2">
      <c r="A4" s="22">
        <v>2</v>
      </c>
      <c r="B4" s="22">
        <v>2</v>
      </c>
      <c r="C4" s="18" t="s">
        <v>213</v>
      </c>
      <c r="D4" s="19">
        <v>50825</v>
      </c>
      <c r="E4" s="19">
        <v>55372.18</v>
      </c>
      <c r="F4" s="20">
        <f>(D4-E4)/E4</f>
        <v>-8.212029939944572E-2</v>
      </c>
      <c r="G4" s="21">
        <v>8966</v>
      </c>
      <c r="H4" s="22">
        <v>241</v>
      </c>
      <c r="I4" s="22">
        <f>G4/H4</f>
        <v>37.203319502074692</v>
      </c>
      <c r="J4" s="22">
        <v>12</v>
      </c>
      <c r="K4" s="22">
        <v>6</v>
      </c>
      <c r="L4" s="19">
        <v>1095024.28</v>
      </c>
      <c r="M4" s="21">
        <v>166380</v>
      </c>
      <c r="N4" s="23">
        <v>45128</v>
      </c>
      <c r="O4" s="35" t="s">
        <v>14</v>
      </c>
    </row>
    <row r="5" spans="1:18" s="24" customFormat="1" ht="25.9" customHeight="1" x14ac:dyDescent="0.2">
      <c r="A5" s="22">
        <v>3</v>
      </c>
      <c r="B5" s="22" t="s">
        <v>31</v>
      </c>
      <c r="C5" s="18" t="s">
        <v>274</v>
      </c>
      <c r="D5" s="19">
        <v>37787.870000000003</v>
      </c>
      <c r="E5" s="19" t="s">
        <v>18</v>
      </c>
      <c r="F5" s="20" t="s">
        <v>18</v>
      </c>
      <c r="G5" s="21">
        <v>8278</v>
      </c>
      <c r="H5" s="22">
        <v>231</v>
      </c>
      <c r="I5" s="22">
        <f>G5/H5</f>
        <v>35.835497835497833</v>
      </c>
      <c r="J5" s="22">
        <v>18</v>
      </c>
      <c r="K5" s="22">
        <v>1</v>
      </c>
      <c r="L5" s="19">
        <v>37787.870000000003</v>
      </c>
      <c r="M5" s="21">
        <v>8278</v>
      </c>
      <c r="N5" s="23">
        <v>45163</v>
      </c>
      <c r="O5" s="35" t="s">
        <v>16</v>
      </c>
      <c r="R5" s="17"/>
    </row>
    <row r="6" spans="1:18" s="24" customFormat="1" ht="25.9" customHeight="1" x14ac:dyDescent="0.2">
      <c r="A6" s="22">
        <v>4</v>
      </c>
      <c r="B6" s="22" t="s">
        <v>31</v>
      </c>
      <c r="C6" s="7" t="s">
        <v>272</v>
      </c>
      <c r="D6" s="8">
        <v>36583</v>
      </c>
      <c r="E6" s="20" t="s">
        <v>18</v>
      </c>
      <c r="F6" s="20" t="s">
        <v>18</v>
      </c>
      <c r="G6" s="10">
        <v>6146</v>
      </c>
      <c r="H6" s="22" t="s">
        <v>18</v>
      </c>
      <c r="I6" s="22" t="s">
        <v>18</v>
      </c>
      <c r="J6" s="11">
        <v>14</v>
      </c>
      <c r="K6" s="11">
        <v>1</v>
      </c>
      <c r="L6" s="19">
        <v>36583</v>
      </c>
      <c r="M6" s="21">
        <v>6146</v>
      </c>
      <c r="N6" s="12">
        <v>45132</v>
      </c>
      <c r="O6" s="62" t="s">
        <v>15</v>
      </c>
      <c r="R6" s="17"/>
    </row>
    <row r="7" spans="1:18" s="24" customFormat="1" ht="25.9" customHeight="1" x14ac:dyDescent="0.2">
      <c r="A7" s="22">
        <v>5</v>
      </c>
      <c r="B7" s="22">
        <v>3</v>
      </c>
      <c r="C7" s="18" t="s">
        <v>239</v>
      </c>
      <c r="D7" s="19">
        <v>36145.279999999999</v>
      </c>
      <c r="E7" s="19">
        <v>41581.61</v>
      </c>
      <c r="F7" s="20">
        <f>(D7-E7)/E7</f>
        <v>-0.13073880496690729</v>
      </c>
      <c r="G7" s="21">
        <v>6564</v>
      </c>
      <c r="H7" s="22">
        <v>143</v>
      </c>
      <c r="I7" s="22">
        <f t="shared" ref="I7:I19" si="0">G7/H7</f>
        <v>45.9020979020979</v>
      </c>
      <c r="J7" s="22">
        <v>9</v>
      </c>
      <c r="K7" s="22">
        <v>3</v>
      </c>
      <c r="L7" s="19">
        <v>162734.35</v>
      </c>
      <c r="M7" s="21">
        <v>25842</v>
      </c>
      <c r="N7" s="23">
        <v>45149</v>
      </c>
      <c r="O7" s="35" t="s">
        <v>12</v>
      </c>
      <c r="R7" s="17"/>
    </row>
    <row r="8" spans="1:18" s="24" customFormat="1" ht="25.9" customHeight="1" x14ac:dyDescent="0.2">
      <c r="A8" s="22">
        <v>6</v>
      </c>
      <c r="B8" s="22">
        <v>4</v>
      </c>
      <c r="C8" s="18" t="s">
        <v>238</v>
      </c>
      <c r="D8" s="19">
        <v>19739.27</v>
      </c>
      <c r="E8" s="19">
        <v>24977.8</v>
      </c>
      <c r="F8" s="20">
        <f>(D8-E8)/E8</f>
        <v>-0.20972743796491281</v>
      </c>
      <c r="G8" s="21">
        <v>3677</v>
      </c>
      <c r="H8" s="22">
        <v>93</v>
      </c>
      <c r="I8" s="22">
        <f t="shared" si="0"/>
        <v>39.537634408602152</v>
      </c>
      <c r="J8" s="22">
        <v>9</v>
      </c>
      <c r="K8" s="22">
        <v>4</v>
      </c>
      <c r="L8" s="19">
        <v>166157.18</v>
      </c>
      <c r="M8" s="21">
        <v>26823</v>
      </c>
      <c r="N8" s="23">
        <v>45142</v>
      </c>
      <c r="O8" s="35" t="s">
        <v>14</v>
      </c>
      <c r="R8" s="17"/>
    </row>
    <row r="9" spans="1:18" s="24" customFormat="1" ht="25.9" customHeight="1" x14ac:dyDescent="0.2">
      <c r="A9" s="22">
        <v>7</v>
      </c>
      <c r="B9" s="22" t="s">
        <v>31</v>
      </c>
      <c r="C9" s="18" t="s">
        <v>263</v>
      </c>
      <c r="D9" s="19">
        <v>18767.82</v>
      </c>
      <c r="E9" s="20" t="s">
        <v>18</v>
      </c>
      <c r="F9" s="20" t="s">
        <v>18</v>
      </c>
      <c r="G9" s="21">
        <v>3468</v>
      </c>
      <c r="H9" s="22">
        <v>142</v>
      </c>
      <c r="I9" s="22">
        <f t="shared" si="0"/>
        <v>24.422535211267604</v>
      </c>
      <c r="J9" s="22">
        <v>13</v>
      </c>
      <c r="K9" s="22">
        <v>1</v>
      </c>
      <c r="L9" s="19">
        <v>20180.93</v>
      </c>
      <c r="M9" s="21">
        <v>3696</v>
      </c>
      <c r="N9" s="23">
        <v>45163</v>
      </c>
      <c r="O9" s="35" t="s">
        <v>13</v>
      </c>
      <c r="R9" s="17"/>
    </row>
    <row r="10" spans="1:18" s="24" customFormat="1" ht="25.9" customHeight="1" x14ac:dyDescent="0.2">
      <c r="A10" s="22">
        <v>8</v>
      </c>
      <c r="B10" s="22">
        <v>7</v>
      </c>
      <c r="C10" s="18" t="s">
        <v>181</v>
      </c>
      <c r="D10" s="19">
        <v>13893.81</v>
      </c>
      <c r="E10" s="19">
        <v>16284.85</v>
      </c>
      <c r="F10" s="20">
        <f>(D10-E10)/E10</f>
        <v>-0.14682603769761471</v>
      </c>
      <c r="G10" s="21">
        <v>2912</v>
      </c>
      <c r="H10" s="22">
        <v>70</v>
      </c>
      <c r="I10" s="22">
        <f t="shared" si="0"/>
        <v>41.6</v>
      </c>
      <c r="J10" s="22">
        <v>8</v>
      </c>
      <c r="K10" s="22">
        <v>11</v>
      </c>
      <c r="L10" s="19">
        <v>465273.84</v>
      </c>
      <c r="M10" s="21">
        <v>92252</v>
      </c>
      <c r="N10" s="23">
        <v>45093</v>
      </c>
      <c r="O10" s="30" t="s">
        <v>40</v>
      </c>
      <c r="R10" s="17"/>
    </row>
    <row r="11" spans="1:18" s="24" customFormat="1" ht="25.9" customHeight="1" x14ac:dyDescent="0.2">
      <c r="A11" s="22">
        <v>9</v>
      </c>
      <c r="B11" s="22">
        <v>5</v>
      </c>
      <c r="C11" s="18" t="s">
        <v>246</v>
      </c>
      <c r="D11" s="19">
        <v>11030.33</v>
      </c>
      <c r="E11" s="19">
        <v>22423.05</v>
      </c>
      <c r="F11" s="20">
        <f>(D11-E11)/E11</f>
        <v>-0.50808074726676344</v>
      </c>
      <c r="G11" s="21">
        <v>2260</v>
      </c>
      <c r="H11" s="22">
        <v>98</v>
      </c>
      <c r="I11" s="22">
        <f t="shared" si="0"/>
        <v>23.061224489795919</v>
      </c>
      <c r="J11" s="22">
        <v>9</v>
      </c>
      <c r="K11" s="22">
        <v>2</v>
      </c>
      <c r="L11" s="19">
        <v>35959.06</v>
      </c>
      <c r="M11" s="21">
        <v>6058</v>
      </c>
      <c r="N11" s="23">
        <v>45156</v>
      </c>
      <c r="O11" s="35" t="s">
        <v>14</v>
      </c>
      <c r="R11" s="17"/>
    </row>
    <row r="12" spans="1:18" s="24" customFormat="1" ht="25.9" customHeight="1" x14ac:dyDescent="0.2">
      <c r="A12" s="22">
        <v>10</v>
      </c>
      <c r="B12" s="22" t="s">
        <v>31</v>
      </c>
      <c r="C12" s="18" t="s">
        <v>262</v>
      </c>
      <c r="D12" s="19">
        <v>9660.9599999999991</v>
      </c>
      <c r="E12" s="20" t="s">
        <v>18</v>
      </c>
      <c r="F12" s="20" t="s">
        <v>18</v>
      </c>
      <c r="G12" s="21">
        <v>1995</v>
      </c>
      <c r="H12" s="22">
        <v>124</v>
      </c>
      <c r="I12" s="22">
        <f t="shared" si="0"/>
        <v>16.088709677419356</v>
      </c>
      <c r="J12" s="22">
        <v>13</v>
      </c>
      <c r="K12" s="22">
        <v>1</v>
      </c>
      <c r="L12" s="19">
        <v>11402.02</v>
      </c>
      <c r="M12" s="21">
        <v>2242</v>
      </c>
      <c r="N12" s="23" t="s">
        <v>270</v>
      </c>
      <c r="O12" s="35" t="s">
        <v>13</v>
      </c>
      <c r="R12" s="17"/>
    </row>
    <row r="13" spans="1:18" s="27" customFormat="1" ht="25.9" customHeight="1" x14ac:dyDescent="0.15">
      <c r="A13" s="22">
        <v>11</v>
      </c>
      <c r="B13" s="22">
        <v>8</v>
      </c>
      <c r="C13" s="18" t="s">
        <v>264</v>
      </c>
      <c r="D13" s="19">
        <v>8538.42</v>
      </c>
      <c r="E13" s="19">
        <v>12795.07</v>
      </c>
      <c r="F13" s="20">
        <f t="shared" ref="F13:F18" si="1">(D13-E13)/E13</f>
        <v>-0.33267891461320648</v>
      </c>
      <c r="G13" s="21">
        <v>1562</v>
      </c>
      <c r="H13" s="22">
        <v>26</v>
      </c>
      <c r="I13" s="22">
        <f t="shared" si="0"/>
        <v>60.07692307692308</v>
      </c>
      <c r="J13" s="22">
        <v>6</v>
      </c>
      <c r="K13" s="22">
        <v>2</v>
      </c>
      <c r="L13" s="19">
        <v>21333.49</v>
      </c>
      <c r="M13" s="21">
        <v>3712</v>
      </c>
      <c r="N13" s="23">
        <v>45156</v>
      </c>
      <c r="O13" s="30" t="s">
        <v>64</v>
      </c>
    </row>
    <row r="14" spans="1:18" s="27" customFormat="1" ht="25.9" customHeight="1" x14ac:dyDescent="0.15">
      <c r="A14" s="22">
        <v>12</v>
      </c>
      <c r="B14" s="22">
        <v>6</v>
      </c>
      <c r="C14" s="18" t="s">
        <v>247</v>
      </c>
      <c r="D14" s="19">
        <v>6515.51</v>
      </c>
      <c r="E14" s="19">
        <v>16613.96</v>
      </c>
      <c r="F14" s="20">
        <f t="shared" si="1"/>
        <v>-0.60782919905910449</v>
      </c>
      <c r="G14" s="21">
        <v>1226</v>
      </c>
      <c r="H14" s="22">
        <v>72</v>
      </c>
      <c r="I14" s="22">
        <f t="shared" si="0"/>
        <v>17.027777777777779</v>
      </c>
      <c r="J14" s="22">
        <v>9</v>
      </c>
      <c r="K14" s="22">
        <v>2</v>
      </c>
      <c r="L14" s="19">
        <v>23992.17</v>
      </c>
      <c r="M14" s="21">
        <v>3850</v>
      </c>
      <c r="N14" s="23">
        <v>45156</v>
      </c>
      <c r="O14" s="35" t="s">
        <v>13</v>
      </c>
    </row>
    <row r="15" spans="1:18" s="27" customFormat="1" ht="25.9" customHeight="1" x14ac:dyDescent="0.15">
      <c r="A15" s="22">
        <v>13</v>
      </c>
      <c r="B15" s="22">
        <v>10</v>
      </c>
      <c r="C15" s="18" t="s">
        <v>233</v>
      </c>
      <c r="D15" s="19">
        <v>6432.69</v>
      </c>
      <c r="E15" s="19">
        <v>9033.9500000000007</v>
      </c>
      <c r="F15" s="20">
        <f t="shared" si="1"/>
        <v>-0.28794270501829222</v>
      </c>
      <c r="G15" s="21">
        <v>1372</v>
      </c>
      <c r="H15" s="22">
        <v>61</v>
      </c>
      <c r="I15" s="22">
        <f t="shared" si="0"/>
        <v>22.491803278688526</v>
      </c>
      <c r="J15" s="22">
        <v>8</v>
      </c>
      <c r="K15" s="22">
        <v>4</v>
      </c>
      <c r="L15" s="19">
        <v>69391.460000000006</v>
      </c>
      <c r="M15" s="21">
        <v>13771</v>
      </c>
      <c r="N15" s="23">
        <v>45142</v>
      </c>
      <c r="O15" s="30" t="s">
        <v>180</v>
      </c>
    </row>
    <row r="16" spans="1:18" s="27" customFormat="1" ht="25.9" customHeight="1" x14ac:dyDescent="0.2">
      <c r="A16" s="22">
        <v>14</v>
      </c>
      <c r="B16" s="22">
        <v>11</v>
      </c>
      <c r="C16" s="18" t="s">
        <v>198</v>
      </c>
      <c r="D16" s="19">
        <v>6216.85</v>
      </c>
      <c r="E16" s="19">
        <v>7348.28</v>
      </c>
      <c r="F16" s="20">
        <f t="shared" si="1"/>
        <v>-0.15397208598474738</v>
      </c>
      <c r="G16" s="21">
        <v>1521</v>
      </c>
      <c r="H16" s="22">
        <v>51</v>
      </c>
      <c r="I16" s="22">
        <f t="shared" si="0"/>
        <v>29.823529411764707</v>
      </c>
      <c r="J16" s="22">
        <v>6</v>
      </c>
      <c r="K16" s="22">
        <v>7</v>
      </c>
      <c r="L16" s="19">
        <v>200673.04</v>
      </c>
      <c r="M16" s="21">
        <v>40694</v>
      </c>
      <c r="N16" s="23">
        <v>45121</v>
      </c>
      <c r="O16" s="35" t="s">
        <v>13</v>
      </c>
      <c r="P16" s="77"/>
    </row>
    <row r="17" spans="1:16" s="27" customFormat="1" ht="25.9" customHeight="1" x14ac:dyDescent="0.2">
      <c r="A17" s="22">
        <v>15</v>
      </c>
      <c r="B17" s="22">
        <v>9</v>
      </c>
      <c r="C17" s="18" t="s">
        <v>248</v>
      </c>
      <c r="D17" s="19">
        <v>4736.49</v>
      </c>
      <c r="E17" s="19">
        <v>9253.4699999999993</v>
      </c>
      <c r="F17" s="20">
        <f t="shared" si="1"/>
        <v>-0.48813904405590552</v>
      </c>
      <c r="G17" s="21">
        <v>1114</v>
      </c>
      <c r="H17" s="22">
        <v>65</v>
      </c>
      <c r="I17" s="22">
        <f t="shared" si="0"/>
        <v>17.138461538461538</v>
      </c>
      <c r="J17" s="22">
        <v>9</v>
      </c>
      <c r="K17" s="22">
        <v>2</v>
      </c>
      <c r="L17" s="19">
        <v>14409.89</v>
      </c>
      <c r="M17" s="21">
        <v>3111</v>
      </c>
      <c r="N17" s="23">
        <v>45156</v>
      </c>
      <c r="O17" s="35" t="s">
        <v>13</v>
      </c>
      <c r="P17" s="77"/>
    </row>
    <row r="18" spans="1:16" s="27" customFormat="1" ht="25.9" customHeight="1" x14ac:dyDescent="0.2">
      <c r="A18" s="22">
        <v>16</v>
      </c>
      <c r="B18" s="22">
        <v>12</v>
      </c>
      <c r="C18" s="18" t="s">
        <v>209</v>
      </c>
      <c r="D18" s="19">
        <v>4134.67</v>
      </c>
      <c r="E18" s="19">
        <v>5948.48</v>
      </c>
      <c r="F18" s="20">
        <f t="shared" si="1"/>
        <v>-0.30491991231373389</v>
      </c>
      <c r="G18" s="21">
        <v>729</v>
      </c>
      <c r="H18" s="22">
        <v>21</v>
      </c>
      <c r="I18" s="22">
        <f t="shared" si="0"/>
        <v>34.714285714285715</v>
      </c>
      <c r="J18" s="22">
        <v>3</v>
      </c>
      <c r="K18" s="22">
        <v>7</v>
      </c>
      <c r="L18" s="19">
        <v>194079.53</v>
      </c>
      <c r="M18" s="21">
        <v>28353</v>
      </c>
      <c r="N18" s="23">
        <v>45121</v>
      </c>
      <c r="O18" s="30" t="s">
        <v>180</v>
      </c>
      <c r="P18" s="77"/>
    </row>
    <row r="19" spans="1:16" s="27" customFormat="1" ht="25.9" customHeight="1" x14ac:dyDescent="0.2">
      <c r="A19" s="22">
        <v>17</v>
      </c>
      <c r="B19" s="22" t="s">
        <v>57</v>
      </c>
      <c r="C19" s="18" t="s">
        <v>271</v>
      </c>
      <c r="D19" s="19">
        <v>3192.47</v>
      </c>
      <c r="E19" s="20" t="s">
        <v>18</v>
      </c>
      <c r="F19" s="20" t="s">
        <v>18</v>
      </c>
      <c r="G19" s="21">
        <v>423</v>
      </c>
      <c r="H19" s="22">
        <v>9</v>
      </c>
      <c r="I19" s="22">
        <f t="shared" si="0"/>
        <v>47</v>
      </c>
      <c r="J19" s="22">
        <v>9</v>
      </c>
      <c r="K19" s="22">
        <v>0</v>
      </c>
      <c r="L19" s="19">
        <v>3192.47</v>
      </c>
      <c r="M19" s="21">
        <v>423</v>
      </c>
      <c r="N19" s="23" t="s">
        <v>59</v>
      </c>
      <c r="O19" s="30" t="s">
        <v>12</v>
      </c>
      <c r="P19" s="77"/>
    </row>
    <row r="20" spans="1:16" s="27" customFormat="1" ht="25.9" customHeight="1" x14ac:dyDescent="0.2">
      <c r="A20" s="22">
        <v>18</v>
      </c>
      <c r="B20" s="22">
        <v>24</v>
      </c>
      <c r="C20" s="18" t="s">
        <v>266</v>
      </c>
      <c r="D20" s="19">
        <v>2447</v>
      </c>
      <c r="E20" s="19">
        <v>444</v>
      </c>
      <c r="F20" s="20">
        <f>(D20-E20)/E20</f>
        <v>4.5112612612612617</v>
      </c>
      <c r="G20" s="21">
        <v>568</v>
      </c>
      <c r="H20" s="22" t="s">
        <v>18</v>
      </c>
      <c r="I20" s="22" t="s">
        <v>18</v>
      </c>
      <c r="J20" s="22">
        <v>3</v>
      </c>
      <c r="K20" s="22">
        <v>6</v>
      </c>
      <c r="L20" s="19">
        <v>50369</v>
      </c>
      <c r="M20" s="21">
        <v>10938</v>
      </c>
      <c r="N20" s="23">
        <v>45128</v>
      </c>
      <c r="O20" s="35" t="s">
        <v>15</v>
      </c>
      <c r="P20" s="77"/>
    </row>
    <row r="21" spans="1:16" s="27" customFormat="1" ht="25.9" customHeight="1" x14ac:dyDescent="0.2">
      <c r="A21" s="22">
        <v>19</v>
      </c>
      <c r="B21" s="22">
        <v>15</v>
      </c>
      <c r="C21" s="18" t="s">
        <v>261</v>
      </c>
      <c r="D21" s="19">
        <v>1492.3</v>
      </c>
      <c r="E21" s="19">
        <v>1743.9</v>
      </c>
      <c r="F21" s="20">
        <f>(D21-E21)/E21</f>
        <v>-0.14427432765640238</v>
      </c>
      <c r="G21" s="21">
        <v>228</v>
      </c>
      <c r="H21" s="22">
        <v>6</v>
      </c>
      <c r="I21" s="22">
        <f>G21/H21</f>
        <v>38</v>
      </c>
      <c r="J21" s="22">
        <v>3</v>
      </c>
      <c r="K21" s="22">
        <v>2</v>
      </c>
      <c r="L21" s="19">
        <v>3619.4</v>
      </c>
      <c r="M21" s="21">
        <v>557</v>
      </c>
      <c r="N21" s="23">
        <v>45156</v>
      </c>
      <c r="O21" s="35" t="s">
        <v>30</v>
      </c>
      <c r="P21" s="77"/>
    </row>
    <row r="22" spans="1:16" s="27" customFormat="1" ht="25.9" customHeight="1" x14ac:dyDescent="0.2">
      <c r="A22" s="22">
        <v>20</v>
      </c>
      <c r="B22" s="22" t="s">
        <v>31</v>
      </c>
      <c r="C22" s="18" t="s">
        <v>275</v>
      </c>
      <c r="D22" s="19">
        <v>979.66</v>
      </c>
      <c r="E22" s="19" t="s">
        <v>18</v>
      </c>
      <c r="F22" s="20" t="s">
        <v>18</v>
      </c>
      <c r="G22" s="21">
        <v>195</v>
      </c>
      <c r="H22" s="22">
        <v>37</v>
      </c>
      <c r="I22" s="22">
        <f>G22/H22</f>
        <v>5.2702702702702702</v>
      </c>
      <c r="J22" s="22">
        <v>14</v>
      </c>
      <c r="K22" s="22">
        <v>1</v>
      </c>
      <c r="L22" s="19">
        <v>979.66</v>
      </c>
      <c r="M22" s="21">
        <v>195</v>
      </c>
      <c r="N22" s="23">
        <v>45163</v>
      </c>
      <c r="O22" s="35" t="s">
        <v>276</v>
      </c>
      <c r="P22" s="77"/>
    </row>
    <row r="23" spans="1:16" s="27" customFormat="1" ht="25.9" customHeight="1" x14ac:dyDescent="0.2">
      <c r="A23" s="22">
        <v>21</v>
      </c>
      <c r="B23" s="22">
        <v>13</v>
      </c>
      <c r="C23" s="18" t="s">
        <v>249</v>
      </c>
      <c r="D23" s="19">
        <v>796.42</v>
      </c>
      <c r="E23" s="19">
        <v>4540</v>
      </c>
      <c r="F23" s="20">
        <f>(D23-E23)/E23</f>
        <v>-0.82457709251101319</v>
      </c>
      <c r="G23" s="21">
        <v>148</v>
      </c>
      <c r="H23" s="22" t="s">
        <v>18</v>
      </c>
      <c r="I23" s="22" t="s">
        <v>18</v>
      </c>
      <c r="J23" s="22">
        <v>4</v>
      </c>
      <c r="K23" s="22">
        <v>3</v>
      </c>
      <c r="L23" s="19">
        <v>12165.72</v>
      </c>
      <c r="M23" s="21">
        <v>2593</v>
      </c>
      <c r="N23" s="23">
        <v>45149</v>
      </c>
      <c r="O23" s="35" t="s">
        <v>100</v>
      </c>
      <c r="P23" s="77"/>
    </row>
    <row r="24" spans="1:16" s="27" customFormat="1" ht="25.9" customHeight="1" x14ac:dyDescent="0.2">
      <c r="A24" s="22">
        <v>22</v>
      </c>
      <c r="B24" s="22">
        <v>14</v>
      </c>
      <c r="C24" s="18" t="s">
        <v>250</v>
      </c>
      <c r="D24" s="19">
        <v>617.79</v>
      </c>
      <c r="E24" s="19">
        <v>2724.6</v>
      </c>
      <c r="F24" s="20">
        <f>(D24-E24)/E24</f>
        <v>-0.77325478969390005</v>
      </c>
      <c r="G24" s="21">
        <v>155</v>
      </c>
      <c r="H24" s="22">
        <v>8</v>
      </c>
      <c r="I24" s="22">
        <f t="shared" ref="I24:I38" si="2">G24/H24</f>
        <v>19.375</v>
      </c>
      <c r="J24" s="22">
        <v>3</v>
      </c>
      <c r="K24" s="22">
        <v>3</v>
      </c>
      <c r="L24" s="19">
        <v>12789.81</v>
      </c>
      <c r="M24" s="21">
        <v>2688</v>
      </c>
      <c r="N24" s="23">
        <v>45149</v>
      </c>
      <c r="O24" s="35" t="s">
        <v>64</v>
      </c>
      <c r="P24" s="77"/>
    </row>
    <row r="25" spans="1:16" ht="25.9" customHeight="1" x14ac:dyDescent="0.2">
      <c r="A25" s="22">
        <v>23</v>
      </c>
      <c r="B25" s="22">
        <v>28</v>
      </c>
      <c r="C25" s="18" t="s">
        <v>174</v>
      </c>
      <c r="D25" s="19">
        <v>559.29999999999995</v>
      </c>
      <c r="E25" s="19">
        <v>147.80000000000001</v>
      </c>
      <c r="F25" s="20">
        <f>(D25-E25)/E25</f>
        <v>2.7841677943166436</v>
      </c>
      <c r="G25" s="21">
        <v>101</v>
      </c>
      <c r="H25" s="22">
        <v>7</v>
      </c>
      <c r="I25" s="22">
        <f t="shared" si="2"/>
        <v>14.428571428571429</v>
      </c>
      <c r="J25" s="22">
        <v>3</v>
      </c>
      <c r="K25" s="20" t="s">
        <v>18</v>
      </c>
      <c r="L25" s="19">
        <v>57394.879999999997</v>
      </c>
      <c r="M25" s="21">
        <v>9253</v>
      </c>
      <c r="N25" s="23">
        <v>45086</v>
      </c>
      <c r="O25" s="30" t="s">
        <v>179</v>
      </c>
      <c r="P25" s="79"/>
    </row>
    <row r="26" spans="1:16" s="27" customFormat="1" ht="25.9" customHeight="1" x14ac:dyDescent="0.2">
      <c r="A26" s="22">
        <v>24</v>
      </c>
      <c r="B26" s="22">
        <v>27</v>
      </c>
      <c r="C26" s="18" t="s">
        <v>146</v>
      </c>
      <c r="D26" s="19">
        <v>556.20000000000005</v>
      </c>
      <c r="E26" s="19">
        <v>198.1</v>
      </c>
      <c r="F26" s="20">
        <f>(D26-E26)/E26</f>
        <v>1.8076728924785463</v>
      </c>
      <c r="G26" s="21">
        <v>82</v>
      </c>
      <c r="H26" s="22">
        <v>4</v>
      </c>
      <c r="I26" s="22">
        <f t="shared" si="2"/>
        <v>20.5</v>
      </c>
      <c r="J26" s="22">
        <v>3</v>
      </c>
      <c r="K26" s="22">
        <v>13</v>
      </c>
      <c r="L26" s="19">
        <v>9794.4000000000015</v>
      </c>
      <c r="M26" s="21">
        <v>1503</v>
      </c>
      <c r="N26" s="23">
        <v>45079</v>
      </c>
      <c r="O26" s="30" t="s">
        <v>16</v>
      </c>
      <c r="P26" s="77"/>
    </row>
    <row r="27" spans="1:16" s="27" customFormat="1" ht="25.9" customHeight="1" x14ac:dyDescent="0.2">
      <c r="A27" s="22">
        <v>25</v>
      </c>
      <c r="B27" s="19" t="s">
        <v>18</v>
      </c>
      <c r="C27" s="7" t="s">
        <v>80</v>
      </c>
      <c r="D27" s="8">
        <v>552</v>
      </c>
      <c r="E27" s="19" t="s">
        <v>18</v>
      </c>
      <c r="F27" s="20" t="s">
        <v>18</v>
      </c>
      <c r="G27" s="10">
        <v>81</v>
      </c>
      <c r="H27" s="11">
        <v>1</v>
      </c>
      <c r="I27" s="11">
        <f t="shared" si="2"/>
        <v>81</v>
      </c>
      <c r="J27" s="11">
        <v>1</v>
      </c>
      <c r="K27" s="11" t="s">
        <v>18</v>
      </c>
      <c r="L27" s="19">
        <v>11931</v>
      </c>
      <c r="M27" s="21">
        <v>2120</v>
      </c>
      <c r="N27" s="12">
        <v>45012</v>
      </c>
      <c r="O27" s="62" t="s">
        <v>68</v>
      </c>
      <c r="P27" s="77"/>
    </row>
    <row r="28" spans="1:16" s="27" customFormat="1" ht="25.9" customHeight="1" x14ac:dyDescent="0.2">
      <c r="A28" s="22">
        <v>26</v>
      </c>
      <c r="B28" s="20" t="s">
        <v>18</v>
      </c>
      <c r="C28" s="18" t="s">
        <v>190</v>
      </c>
      <c r="D28" s="19">
        <v>525</v>
      </c>
      <c r="E28" s="20" t="s">
        <v>18</v>
      </c>
      <c r="F28" s="20" t="s">
        <v>18</v>
      </c>
      <c r="G28" s="21">
        <v>220</v>
      </c>
      <c r="H28" s="22">
        <v>14</v>
      </c>
      <c r="I28" s="22">
        <f t="shared" si="2"/>
        <v>15.714285714285714</v>
      </c>
      <c r="J28" s="22">
        <v>2</v>
      </c>
      <c r="K28" s="20" t="s">
        <v>18</v>
      </c>
      <c r="L28" s="19">
        <v>102688.83</v>
      </c>
      <c r="M28" s="21">
        <v>21947</v>
      </c>
      <c r="N28" s="23">
        <v>44603</v>
      </c>
      <c r="O28" s="35" t="s">
        <v>13</v>
      </c>
      <c r="P28" s="77"/>
    </row>
    <row r="29" spans="1:16" s="27" customFormat="1" ht="25.9" customHeight="1" x14ac:dyDescent="0.2">
      <c r="A29" s="22">
        <v>27</v>
      </c>
      <c r="B29" s="22">
        <v>23</v>
      </c>
      <c r="C29" s="18" t="s">
        <v>265</v>
      </c>
      <c r="D29" s="19">
        <v>507.5</v>
      </c>
      <c r="E29" s="19">
        <v>540</v>
      </c>
      <c r="F29" s="20">
        <f>(D29-E29)/E29</f>
        <v>-6.0185185185185182E-2</v>
      </c>
      <c r="G29" s="21">
        <v>202</v>
      </c>
      <c r="H29" s="22">
        <v>14</v>
      </c>
      <c r="I29" s="22">
        <f t="shared" si="2"/>
        <v>14.428571428571429</v>
      </c>
      <c r="J29" s="22">
        <v>2</v>
      </c>
      <c r="K29" s="20" t="s">
        <v>18</v>
      </c>
      <c r="L29" s="19">
        <v>140570.85</v>
      </c>
      <c r="M29" s="21">
        <v>27611</v>
      </c>
      <c r="N29" s="23">
        <v>44890</v>
      </c>
      <c r="O29" s="30" t="s">
        <v>40</v>
      </c>
      <c r="P29" s="77"/>
    </row>
    <row r="30" spans="1:16" s="27" customFormat="1" ht="25.9" customHeight="1" x14ac:dyDescent="0.2">
      <c r="A30" s="22">
        <v>28</v>
      </c>
      <c r="B30" s="22">
        <v>22</v>
      </c>
      <c r="C30" s="18" t="s">
        <v>44</v>
      </c>
      <c r="D30" s="19">
        <v>429.5</v>
      </c>
      <c r="E30" s="19">
        <v>657</v>
      </c>
      <c r="F30" s="20">
        <f>(D30-E30)/E30</f>
        <v>-0.34627092846270929</v>
      </c>
      <c r="G30" s="21">
        <v>170</v>
      </c>
      <c r="H30" s="22">
        <v>12</v>
      </c>
      <c r="I30" s="22">
        <f t="shared" si="2"/>
        <v>14.166666666666666</v>
      </c>
      <c r="J30" s="22">
        <v>2</v>
      </c>
      <c r="K30" s="20" t="s">
        <v>18</v>
      </c>
      <c r="L30" s="19">
        <v>1047163.39</v>
      </c>
      <c r="M30" s="21">
        <v>195310</v>
      </c>
      <c r="N30" s="23">
        <v>44916</v>
      </c>
      <c r="O30" s="30" t="s">
        <v>179</v>
      </c>
      <c r="P30" s="77"/>
    </row>
    <row r="31" spans="1:16" s="27" customFormat="1" ht="25.9" customHeight="1" x14ac:dyDescent="0.2">
      <c r="A31" s="22">
        <v>29</v>
      </c>
      <c r="B31" s="22">
        <v>20</v>
      </c>
      <c r="C31" s="18" t="s">
        <v>200</v>
      </c>
      <c r="D31" s="19">
        <v>381.2</v>
      </c>
      <c r="E31" s="19">
        <v>767.72</v>
      </c>
      <c r="F31" s="20">
        <f>(D31-E31)/E31</f>
        <v>-0.50346480487677803</v>
      </c>
      <c r="G31" s="21">
        <v>69</v>
      </c>
      <c r="H31" s="22">
        <v>8</v>
      </c>
      <c r="I31" s="22">
        <f t="shared" si="2"/>
        <v>8.625</v>
      </c>
      <c r="J31" s="22">
        <v>2</v>
      </c>
      <c r="K31" s="22">
        <v>9</v>
      </c>
      <c r="L31" s="19">
        <v>95159.039999999994</v>
      </c>
      <c r="M31" s="21">
        <v>20407</v>
      </c>
      <c r="N31" s="23">
        <v>45107</v>
      </c>
      <c r="O31" s="30" t="s">
        <v>179</v>
      </c>
      <c r="P31" s="77"/>
    </row>
    <row r="32" spans="1:16" s="27" customFormat="1" ht="25.9" customHeight="1" x14ac:dyDescent="0.2">
      <c r="A32" s="22">
        <v>30</v>
      </c>
      <c r="B32" s="20" t="s">
        <v>18</v>
      </c>
      <c r="C32" s="7" t="s">
        <v>155</v>
      </c>
      <c r="D32" s="8">
        <v>343</v>
      </c>
      <c r="E32" s="20" t="s">
        <v>18</v>
      </c>
      <c r="F32" s="20" t="s">
        <v>18</v>
      </c>
      <c r="G32" s="10">
        <v>140</v>
      </c>
      <c r="H32" s="11">
        <v>14</v>
      </c>
      <c r="I32" s="11">
        <f t="shared" si="2"/>
        <v>10</v>
      </c>
      <c r="J32" s="11">
        <v>2</v>
      </c>
      <c r="K32" s="20" t="s">
        <v>18</v>
      </c>
      <c r="L32" s="19">
        <v>187326.44</v>
      </c>
      <c r="M32" s="21">
        <v>37492</v>
      </c>
      <c r="N32" s="12">
        <v>44869</v>
      </c>
      <c r="O32" s="62" t="s">
        <v>12</v>
      </c>
      <c r="P32" s="77"/>
    </row>
    <row r="33" spans="1:16" s="27" customFormat="1" ht="25.9" customHeight="1" x14ac:dyDescent="0.2">
      <c r="A33" s="22">
        <v>31</v>
      </c>
      <c r="B33" s="19" t="s">
        <v>18</v>
      </c>
      <c r="C33" s="7" t="s">
        <v>58</v>
      </c>
      <c r="D33" s="8">
        <v>318</v>
      </c>
      <c r="E33" s="19" t="s">
        <v>18</v>
      </c>
      <c r="F33" s="20" t="s">
        <v>18</v>
      </c>
      <c r="G33" s="10">
        <v>61</v>
      </c>
      <c r="H33" s="11">
        <v>2</v>
      </c>
      <c r="I33" s="11">
        <f t="shared" si="2"/>
        <v>30.5</v>
      </c>
      <c r="J33" s="11">
        <v>2</v>
      </c>
      <c r="K33" s="11" t="s">
        <v>18</v>
      </c>
      <c r="L33" s="19">
        <v>11354.470000000003</v>
      </c>
      <c r="M33" s="21">
        <v>1870</v>
      </c>
      <c r="N33" s="12">
        <v>45044</v>
      </c>
      <c r="O33" s="62" t="s">
        <v>16</v>
      </c>
      <c r="P33" s="77"/>
    </row>
    <row r="34" spans="1:16" s="27" customFormat="1" ht="25.9" customHeight="1" x14ac:dyDescent="0.2">
      <c r="A34" s="22">
        <v>32</v>
      </c>
      <c r="B34" s="22">
        <v>19</v>
      </c>
      <c r="C34" s="18" t="s">
        <v>260</v>
      </c>
      <c r="D34" s="19">
        <v>280.3</v>
      </c>
      <c r="E34" s="19">
        <v>1007.9000000000001</v>
      </c>
      <c r="F34" s="20">
        <f>(D34-E34)/E34</f>
        <v>-0.72189701359261838</v>
      </c>
      <c r="G34" s="21">
        <v>47</v>
      </c>
      <c r="H34" s="22">
        <v>8</v>
      </c>
      <c r="I34" s="22">
        <f t="shared" si="2"/>
        <v>5.875</v>
      </c>
      <c r="J34" s="22">
        <v>3</v>
      </c>
      <c r="K34" s="22">
        <v>2</v>
      </c>
      <c r="L34" s="19">
        <v>1359.2</v>
      </c>
      <c r="M34" s="21">
        <v>252</v>
      </c>
      <c r="N34" s="23">
        <v>45156</v>
      </c>
      <c r="O34" s="35" t="s">
        <v>68</v>
      </c>
      <c r="P34" s="77"/>
    </row>
    <row r="35" spans="1:16" s="27" customFormat="1" ht="25.9" customHeight="1" x14ac:dyDescent="0.2">
      <c r="A35" s="22">
        <v>33</v>
      </c>
      <c r="B35" s="20" t="s">
        <v>18</v>
      </c>
      <c r="C35" s="7" t="s">
        <v>37</v>
      </c>
      <c r="D35" s="8">
        <v>114</v>
      </c>
      <c r="E35" s="20" t="s">
        <v>18</v>
      </c>
      <c r="F35" s="20" t="s">
        <v>18</v>
      </c>
      <c r="G35" s="10">
        <v>23</v>
      </c>
      <c r="H35" s="11">
        <v>1</v>
      </c>
      <c r="I35" s="11">
        <f t="shared" si="2"/>
        <v>23</v>
      </c>
      <c r="J35" s="11">
        <v>1</v>
      </c>
      <c r="K35" s="20" t="s">
        <v>18</v>
      </c>
      <c r="L35" s="19">
        <v>281919.03999999998</v>
      </c>
      <c r="M35" s="21">
        <v>47502</v>
      </c>
      <c r="N35" s="12">
        <v>44973</v>
      </c>
      <c r="O35" s="62" t="s">
        <v>13</v>
      </c>
      <c r="P35" s="77"/>
    </row>
    <row r="36" spans="1:16" s="27" customFormat="1" ht="25.9" customHeight="1" x14ac:dyDescent="0.2">
      <c r="A36" s="22">
        <v>34</v>
      </c>
      <c r="B36" s="22">
        <v>26</v>
      </c>
      <c r="C36" s="18" t="s">
        <v>36</v>
      </c>
      <c r="D36" s="19">
        <v>75.7</v>
      </c>
      <c r="E36" s="19">
        <v>329.9</v>
      </c>
      <c r="F36" s="20">
        <f>(D36-E36)/E36</f>
        <v>-0.77053652622006674</v>
      </c>
      <c r="G36" s="21">
        <v>12</v>
      </c>
      <c r="H36" s="22">
        <v>1</v>
      </c>
      <c r="I36" s="22">
        <f t="shared" si="2"/>
        <v>12</v>
      </c>
      <c r="J36" s="22">
        <v>1</v>
      </c>
      <c r="K36" s="22">
        <v>26</v>
      </c>
      <c r="L36" s="19">
        <v>242014.63000000009</v>
      </c>
      <c r="M36" s="21">
        <v>37906</v>
      </c>
      <c r="N36" s="23">
        <v>44988</v>
      </c>
      <c r="O36" s="30" t="s">
        <v>39</v>
      </c>
      <c r="P36" s="77"/>
    </row>
    <row r="37" spans="1:16" s="27" customFormat="1" ht="25.9" customHeight="1" x14ac:dyDescent="0.2">
      <c r="A37" s="22">
        <v>35</v>
      </c>
      <c r="B37" s="19" t="s">
        <v>18</v>
      </c>
      <c r="C37" s="7" t="s">
        <v>273</v>
      </c>
      <c r="D37" s="8">
        <v>47</v>
      </c>
      <c r="E37" s="19" t="s">
        <v>18</v>
      </c>
      <c r="F37" s="20" t="s">
        <v>18</v>
      </c>
      <c r="G37" s="10">
        <v>9</v>
      </c>
      <c r="H37" s="11">
        <v>1</v>
      </c>
      <c r="I37" s="11">
        <f t="shared" si="2"/>
        <v>9</v>
      </c>
      <c r="J37" s="11">
        <v>1</v>
      </c>
      <c r="K37" s="11">
        <v>3</v>
      </c>
      <c r="L37" s="19">
        <v>248</v>
      </c>
      <c r="M37" s="21">
        <v>40</v>
      </c>
      <c r="N37" s="12">
        <v>45154</v>
      </c>
      <c r="O37" s="62" t="s">
        <v>68</v>
      </c>
      <c r="P37" s="77"/>
    </row>
    <row r="38" spans="1:16" s="27" customFormat="1" ht="25.9" customHeight="1" x14ac:dyDescent="0.2">
      <c r="A38" s="22">
        <v>36</v>
      </c>
      <c r="B38" s="22" t="s">
        <v>18</v>
      </c>
      <c r="C38" s="7" t="s">
        <v>234</v>
      </c>
      <c r="D38" s="8">
        <v>14</v>
      </c>
      <c r="E38" s="19" t="s">
        <v>18</v>
      </c>
      <c r="F38" s="20" t="s">
        <v>18</v>
      </c>
      <c r="G38" s="10">
        <v>4</v>
      </c>
      <c r="H38" s="11">
        <v>1</v>
      </c>
      <c r="I38" s="22">
        <f t="shared" si="2"/>
        <v>4</v>
      </c>
      <c r="J38" s="11">
        <v>1</v>
      </c>
      <c r="K38" s="11" t="s">
        <v>18</v>
      </c>
      <c r="L38" s="19">
        <v>3664.66</v>
      </c>
      <c r="M38" s="21">
        <v>791</v>
      </c>
      <c r="N38" s="12">
        <v>45135</v>
      </c>
      <c r="O38" s="62" t="s">
        <v>48</v>
      </c>
      <c r="P38" s="77"/>
    </row>
    <row r="39" spans="1:16" s="45" customFormat="1" ht="25.9" customHeight="1" x14ac:dyDescent="0.2">
      <c r="A39" s="67"/>
      <c r="B39" s="67"/>
      <c r="C39" s="46" t="s">
        <v>215</v>
      </c>
      <c r="D39" s="47">
        <f>SUBTOTAL(109,Table132458791011121314151617181920[Pajamos 
(GBO)])</f>
        <v>336637.37999999989</v>
      </c>
      <c r="E39" s="47" t="s">
        <v>269</v>
      </c>
      <c r="F39" s="42">
        <f t="shared" ref="F39" si="3">(D39-E39)/E39</f>
        <v>0.11612727610307245</v>
      </c>
      <c r="G39" s="43">
        <f>SUBTOTAL(109,Table132458791011121314151617181920[Žiūrovų sk. 
(ADM)])</f>
        <v>63046</v>
      </c>
      <c r="H39" s="51"/>
      <c r="I39" s="51"/>
      <c r="J39" s="51"/>
      <c r="K39" s="46"/>
      <c r="L39" s="53"/>
      <c r="M39" s="55"/>
      <c r="N39" s="60"/>
      <c r="O39" s="46"/>
    </row>
    <row r="40" spans="1:16" ht="11.25" hidden="1" x14ac:dyDescent="0.15">
      <c r="A40" s="38"/>
      <c r="B40" s="38"/>
      <c r="K40" s="1"/>
    </row>
    <row r="41" spans="1:16" ht="11.25" hidden="1" x14ac:dyDescent="0.15">
      <c r="A41" s="38"/>
      <c r="B41" s="38"/>
      <c r="K41" s="1"/>
    </row>
    <row r="42" spans="1:16" ht="11.25" hidden="1" x14ac:dyDescent="0.15">
      <c r="A42" s="38"/>
      <c r="B42" s="38"/>
      <c r="K42" s="1"/>
    </row>
    <row r="43" spans="1:16" ht="11.25" hidden="1" x14ac:dyDescent="0.15">
      <c r="A43" s="38"/>
      <c r="B43" s="38"/>
      <c r="K43" s="1"/>
    </row>
    <row r="44" spans="1:16" ht="11.25" hidden="1" x14ac:dyDescent="0.15">
      <c r="A44" s="38"/>
      <c r="B44" s="38"/>
      <c r="K44" s="1"/>
    </row>
    <row r="45" spans="1:16" ht="11.25" hidden="1" x14ac:dyDescent="0.15">
      <c r="A45" s="38"/>
      <c r="B45" s="38"/>
      <c r="K45" s="1"/>
    </row>
    <row r="46" spans="1:16" ht="11.25" hidden="1" x14ac:dyDescent="0.15">
      <c r="A46" s="38"/>
      <c r="B46" s="38"/>
      <c r="K46" s="1"/>
    </row>
    <row r="47" spans="1:16" ht="11.25" hidden="1" x14ac:dyDescent="0.15">
      <c r="A47" s="38"/>
      <c r="B47" s="38"/>
      <c r="K47" s="1"/>
    </row>
    <row r="48" spans="1:16" ht="11.25" hidden="1" x14ac:dyDescent="0.15">
      <c r="A48" s="38"/>
      <c r="B48" s="38"/>
      <c r="K48" s="1"/>
    </row>
    <row r="49" spans="1:11" ht="11.25" hidden="1" x14ac:dyDescent="0.15">
      <c r="A49" s="38"/>
      <c r="B49" s="38"/>
      <c r="K49" s="1"/>
    </row>
    <row r="50" spans="1:11" ht="11.25" hidden="1" x14ac:dyDescent="0.15">
      <c r="A50" s="38"/>
      <c r="B50" s="38"/>
      <c r="K50" s="1"/>
    </row>
    <row r="51" spans="1:11" ht="11.25" hidden="1" x14ac:dyDescent="0.15">
      <c r="A51" s="38"/>
      <c r="B51" s="38"/>
      <c r="K51" s="1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as" ma:contentTypeID="0x010100691E9D35A53E9A4EBD386BD6CA5FE45A" ma:contentTypeVersion="21" ma:contentTypeDescription="Kurkite naują dokumentą." ma:contentTypeScope="" ma:versionID="23620de79f9f8a90b79a8e79e72deae7">
  <xsd:schema xmlns:xsd="http://www.w3.org/2001/XMLSchema" xmlns:xs="http://www.w3.org/2001/XMLSchema" xmlns:p="http://schemas.microsoft.com/office/2006/metadata/properties" xmlns:ns2="22dbaa52-5d5a-4806-ae0d-f920dab8f355" xmlns:ns3="f1621be2-09a8-4ecf-a4f6-2b817f971f19" targetNamespace="http://schemas.microsoft.com/office/2006/metadata/properties" ma:root="true" ma:fieldsID="bf50f9ed8e56cd0d5d39bf86259c8073" ns2:_="" ns3:_="">
    <xsd:import namespace="22dbaa52-5d5a-4806-ae0d-f920dab8f355"/>
    <xsd:import namespace="f1621be2-09a8-4ecf-a4f6-2b817f971f1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dbaa52-5d5a-4806-ae0d-f920dab8f3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Vaizdų žymės" ma:readOnly="false" ma:fieldId="{5cf76f15-5ced-4ddc-b409-7134ff3c332f}" ma:taxonomyMulti="true" ma:sspId="c0864939-75c6-4484-8098-18c4e1df423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621be2-09a8-4ecf-a4f6-2b817f971f1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Bendrinama s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Bendrinta su išsamia informacija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f9b642a4-d2eb-433c-9774-f14ef5d9a268}" ma:internalName="TaxCatchAll" ma:showField="CatchAllData" ma:web="f1621be2-09a8-4ecf-a4f6-2b817f971f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urinio tipas"/>
        <xsd:element ref="dc:title" minOccurs="0" maxOccurs="1" ma:index="4" ma:displayName="Antraštė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07A612C-A5E2-4728-8A83-9A47022AA09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2dbaa52-5d5a-4806-ae0d-f920dab8f355"/>
    <ds:schemaRef ds:uri="f1621be2-09a8-4ecf-a4f6-2b817f971f1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3907C75-E9E4-4818-A883-1C85B517E44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10.20-10.26</vt:lpstr>
      <vt:lpstr>10.13-10.19</vt:lpstr>
      <vt:lpstr>10.06-10.12</vt:lpstr>
      <vt:lpstr>09.29-10.05</vt:lpstr>
      <vt:lpstr>09.22-09.28</vt:lpstr>
      <vt:lpstr>09.15-09.21</vt:lpstr>
      <vt:lpstr>09.08-09.14</vt:lpstr>
      <vt:lpstr>09.01-09.07</vt:lpstr>
      <vt:lpstr>08.25-08.31</vt:lpstr>
      <vt:lpstr>08.18-08.24</vt:lpstr>
      <vt:lpstr>08.11-08.17</vt:lpstr>
      <vt:lpstr>08.04-08.10</vt:lpstr>
      <vt:lpstr>07.28-08.03</vt:lpstr>
      <vt:lpstr>07.21-07.27</vt:lpstr>
      <vt:lpstr>07.14-07.20</vt:lpstr>
      <vt:lpstr>07.07-07.13</vt:lpstr>
      <vt:lpstr>06.30-07.06</vt:lpstr>
      <vt:lpstr>06.23-06.29</vt:lpstr>
      <vt:lpstr>06.16-06.22</vt:lpstr>
      <vt:lpstr>06.09-06.15</vt:lpstr>
      <vt:lpstr>06.02-06.08</vt:lpstr>
      <vt:lpstr>05.26-06.01</vt:lpstr>
      <vt:lpstr>05.19-05.25</vt:lpstr>
      <vt:lpstr>05.12-05.18</vt:lpstr>
      <vt:lpstr>05.05-05.11</vt:lpstr>
      <vt:lpstr>04.28-05.04</vt:lpstr>
      <vt:lpstr>04.21-04.27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Austė</dc:creator>
  <cp:lastModifiedBy>Austė Jucytė</cp:lastModifiedBy>
  <cp:lastPrinted>2023-04-24T11:09:18Z</cp:lastPrinted>
  <dcterms:created xsi:type="dcterms:W3CDTF">2023-04-24T05:36:19Z</dcterms:created>
  <dcterms:modified xsi:type="dcterms:W3CDTF">2023-10-27T12:01:20Z</dcterms:modified>
</cp:coreProperties>
</file>